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/>
  <workbookPr showInkAnnotation="0" autoCompressPictures="0"/>
  <bookViews>
    <workbookView xWindow="0" yWindow="0" windowWidth="28600" windowHeight="17460" tabRatio="500" activeTab="1"/>
  </bookViews>
  <sheets>
    <sheet name="Instructions" sheetId="15" r:id="rId1"/>
    <sheet name="AMCAS" sheetId="3" r:id="rId2"/>
    <sheet name="AACOMAS" sheetId="14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3" l="1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B3" i="3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2" i="3"/>
  <c r="B3" i="14"/>
  <c r="B4" i="14"/>
  <c r="B5" i="14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36" i="14"/>
  <c r="B37" i="14"/>
  <c r="B38" i="14"/>
  <c r="B39" i="14"/>
  <c r="B40" i="14"/>
  <c r="B41" i="14"/>
  <c r="B42" i="14"/>
  <c r="B43" i="14"/>
  <c r="B44" i="14"/>
  <c r="B45" i="14"/>
  <c r="B46" i="14"/>
  <c r="B47" i="14"/>
  <c r="B48" i="14"/>
  <c r="B49" i="14"/>
  <c r="B50" i="14"/>
  <c r="B51" i="14"/>
  <c r="B52" i="14"/>
  <c r="B2" i="14"/>
  <c r="F3" i="14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2" i="14"/>
  <c r="I3" i="14"/>
  <c r="L3" i="14"/>
  <c r="I4" i="14"/>
  <c r="L4" i="14"/>
  <c r="I5" i="14"/>
  <c r="L5" i="14"/>
  <c r="I6" i="14"/>
  <c r="L6" i="14"/>
  <c r="I7" i="14"/>
  <c r="L7" i="14"/>
  <c r="I8" i="14"/>
  <c r="L8" i="14"/>
  <c r="I9" i="14"/>
  <c r="L9" i="14"/>
  <c r="I10" i="14"/>
  <c r="L10" i="14"/>
  <c r="I11" i="14"/>
  <c r="L11" i="14"/>
  <c r="I12" i="14"/>
  <c r="L12" i="14"/>
  <c r="I13" i="14"/>
  <c r="L13" i="14"/>
  <c r="I14" i="14"/>
  <c r="L14" i="14"/>
  <c r="I15" i="14"/>
  <c r="L15" i="14"/>
  <c r="I16" i="14"/>
  <c r="L16" i="14"/>
  <c r="I17" i="14"/>
  <c r="L17" i="14"/>
  <c r="I18" i="14"/>
  <c r="L18" i="14"/>
  <c r="I19" i="14"/>
  <c r="L19" i="14"/>
  <c r="I20" i="14"/>
  <c r="L20" i="14"/>
  <c r="I21" i="14"/>
  <c r="L21" i="14"/>
  <c r="I22" i="14"/>
  <c r="L22" i="14"/>
  <c r="I23" i="14"/>
  <c r="L23" i="14"/>
  <c r="I24" i="14"/>
  <c r="L24" i="14"/>
  <c r="I25" i="14"/>
  <c r="L25" i="14"/>
  <c r="I26" i="14"/>
  <c r="L26" i="14"/>
  <c r="I27" i="14"/>
  <c r="L27" i="14"/>
  <c r="I28" i="14"/>
  <c r="L28" i="14"/>
  <c r="I29" i="14"/>
  <c r="L29" i="14"/>
  <c r="I30" i="14"/>
  <c r="L30" i="14"/>
  <c r="I31" i="14"/>
  <c r="L31" i="14"/>
  <c r="I32" i="14"/>
  <c r="L32" i="14"/>
  <c r="I33" i="14"/>
  <c r="L33" i="14"/>
  <c r="I34" i="14"/>
  <c r="L34" i="14"/>
  <c r="I35" i="14"/>
  <c r="L35" i="14"/>
  <c r="I36" i="14"/>
  <c r="L36" i="14"/>
  <c r="I37" i="14"/>
  <c r="L37" i="14"/>
  <c r="L38" i="14"/>
  <c r="L39" i="14"/>
  <c r="L40" i="14"/>
  <c r="L41" i="14"/>
  <c r="L42" i="14"/>
  <c r="L43" i="14"/>
  <c r="L44" i="14"/>
  <c r="L45" i="14"/>
  <c r="L46" i="14"/>
  <c r="L47" i="14"/>
  <c r="L48" i="14"/>
  <c r="L49" i="14"/>
  <c r="L50" i="14"/>
  <c r="L51" i="14"/>
  <c r="L52" i="14"/>
  <c r="L2" i="14"/>
  <c r="O2" i="14"/>
  <c r="O3" i="14"/>
  <c r="O4" i="14"/>
  <c r="O5" i="14"/>
  <c r="O6" i="14"/>
  <c r="O7" i="14"/>
  <c r="O8" i="14"/>
  <c r="O9" i="14"/>
  <c r="O10" i="14"/>
  <c r="O11" i="14"/>
  <c r="O12" i="14"/>
  <c r="O13" i="14"/>
  <c r="O14" i="14"/>
  <c r="O15" i="14"/>
  <c r="O16" i="14"/>
  <c r="O17" i="14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P52" i="14"/>
  <c r="Q2" i="14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21" i="14"/>
  <c r="Q22" i="14"/>
  <c r="Q23" i="14"/>
  <c r="Q24" i="14"/>
  <c r="Q25" i="14"/>
  <c r="Q26" i="14"/>
  <c r="Q27" i="14"/>
  <c r="Q28" i="14"/>
  <c r="Q29" i="14"/>
  <c r="Q30" i="14"/>
  <c r="Q31" i="14"/>
  <c r="Q32" i="14"/>
  <c r="Q33" i="14"/>
  <c r="Q34" i="14"/>
  <c r="Q35" i="14"/>
  <c r="Q36" i="14"/>
  <c r="Q37" i="14"/>
  <c r="Q38" i="14"/>
  <c r="Q39" i="14"/>
  <c r="Q40" i="14"/>
  <c r="Q41" i="14"/>
  <c r="Q42" i="14"/>
  <c r="Q43" i="14"/>
  <c r="Q44" i="14"/>
  <c r="Q45" i="14"/>
  <c r="Q46" i="14"/>
  <c r="Q47" i="14"/>
  <c r="Q48" i="14"/>
  <c r="Q49" i="14"/>
  <c r="Q50" i="14"/>
  <c r="Q51" i="14"/>
  <c r="Q52" i="14"/>
  <c r="R52" i="14"/>
  <c r="T52" i="14"/>
  <c r="I2" i="14"/>
  <c r="M52" i="14"/>
  <c r="N52" i="14"/>
  <c r="S52" i="14"/>
  <c r="P51" i="14"/>
  <c r="R51" i="14"/>
  <c r="T51" i="14"/>
  <c r="M51" i="14"/>
  <c r="N51" i="14"/>
  <c r="S51" i="14"/>
  <c r="P50" i="14"/>
  <c r="R50" i="14"/>
  <c r="T50" i="14"/>
  <c r="M50" i="14"/>
  <c r="N50" i="14"/>
  <c r="S50" i="14"/>
  <c r="P49" i="14"/>
  <c r="R49" i="14"/>
  <c r="T49" i="14"/>
  <c r="M49" i="14"/>
  <c r="N49" i="14"/>
  <c r="S49" i="14"/>
  <c r="P48" i="14"/>
  <c r="R48" i="14"/>
  <c r="T48" i="14"/>
  <c r="M48" i="14"/>
  <c r="N48" i="14"/>
  <c r="S48" i="14"/>
  <c r="P47" i="14"/>
  <c r="R47" i="14"/>
  <c r="T47" i="14"/>
  <c r="M47" i="14"/>
  <c r="N47" i="14"/>
  <c r="S47" i="14"/>
  <c r="P46" i="14"/>
  <c r="R46" i="14"/>
  <c r="T46" i="14"/>
  <c r="M46" i="14"/>
  <c r="N46" i="14"/>
  <c r="S46" i="14"/>
  <c r="P45" i="14"/>
  <c r="R45" i="14"/>
  <c r="T45" i="14"/>
  <c r="M45" i="14"/>
  <c r="N45" i="14"/>
  <c r="S45" i="14"/>
  <c r="P44" i="14"/>
  <c r="R44" i="14"/>
  <c r="T44" i="14"/>
  <c r="M44" i="14"/>
  <c r="N44" i="14"/>
  <c r="S44" i="14"/>
  <c r="P43" i="14"/>
  <c r="R43" i="14"/>
  <c r="T43" i="14"/>
  <c r="M43" i="14"/>
  <c r="N43" i="14"/>
  <c r="S43" i="14"/>
  <c r="P42" i="14"/>
  <c r="R42" i="14"/>
  <c r="T42" i="14"/>
  <c r="M42" i="14"/>
  <c r="N42" i="14"/>
  <c r="S42" i="14"/>
  <c r="P41" i="14"/>
  <c r="R41" i="14"/>
  <c r="T41" i="14"/>
  <c r="M41" i="14"/>
  <c r="N41" i="14"/>
  <c r="S41" i="14"/>
  <c r="P40" i="14"/>
  <c r="R40" i="14"/>
  <c r="T40" i="14"/>
  <c r="M40" i="14"/>
  <c r="N40" i="14"/>
  <c r="S40" i="14"/>
  <c r="P39" i="14"/>
  <c r="R39" i="14"/>
  <c r="T39" i="14"/>
  <c r="M39" i="14"/>
  <c r="N39" i="14"/>
  <c r="S39" i="14"/>
  <c r="P38" i="14"/>
  <c r="R38" i="14"/>
  <c r="T38" i="14"/>
  <c r="M38" i="14"/>
  <c r="N38" i="14"/>
  <c r="S38" i="14"/>
  <c r="P37" i="14"/>
  <c r="R37" i="14"/>
  <c r="T37" i="14"/>
  <c r="M37" i="14"/>
  <c r="N37" i="14"/>
  <c r="S37" i="14"/>
  <c r="P36" i="14"/>
  <c r="R36" i="14"/>
  <c r="T36" i="14"/>
  <c r="M36" i="14"/>
  <c r="N36" i="14"/>
  <c r="S36" i="14"/>
  <c r="P35" i="14"/>
  <c r="R35" i="14"/>
  <c r="T35" i="14"/>
  <c r="M35" i="14"/>
  <c r="N35" i="14"/>
  <c r="S35" i="14"/>
  <c r="P34" i="14"/>
  <c r="R34" i="14"/>
  <c r="T34" i="14"/>
  <c r="M34" i="14"/>
  <c r="N34" i="14"/>
  <c r="S34" i="14"/>
  <c r="P33" i="14"/>
  <c r="R33" i="14"/>
  <c r="T33" i="14"/>
  <c r="M33" i="14"/>
  <c r="N33" i="14"/>
  <c r="S33" i="14"/>
  <c r="P32" i="14"/>
  <c r="R32" i="14"/>
  <c r="T32" i="14"/>
  <c r="M32" i="14"/>
  <c r="N32" i="14"/>
  <c r="S32" i="14"/>
  <c r="P31" i="14"/>
  <c r="R31" i="14"/>
  <c r="T31" i="14"/>
  <c r="M31" i="14"/>
  <c r="N31" i="14"/>
  <c r="S31" i="14"/>
  <c r="P30" i="14"/>
  <c r="R30" i="14"/>
  <c r="T30" i="14"/>
  <c r="M30" i="14"/>
  <c r="N30" i="14"/>
  <c r="S30" i="14"/>
  <c r="P29" i="14"/>
  <c r="R29" i="14"/>
  <c r="T29" i="14"/>
  <c r="M29" i="14"/>
  <c r="N29" i="14"/>
  <c r="S29" i="14"/>
  <c r="P28" i="14"/>
  <c r="R28" i="14"/>
  <c r="T28" i="14"/>
  <c r="M28" i="14"/>
  <c r="N28" i="14"/>
  <c r="S28" i="14"/>
  <c r="P27" i="14"/>
  <c r="R27" i="14"/>
  <c r="T27" i="14"/>
  <c r="M27" i="14"/>
  <c r="N27" i="14"/>
  <c r="S27" i="14"/>
  <c r="P26" i="14"/>
  <c r="R26" i="14"/>
  <c r="T26" i="14"/>
  <c r="M26" i="14"/>
  <c r="N26" i="14"/>
  <c r="S26" i="14"/>
  <c r="P25" i="14"/>
  <c r="R25" i="14"/>
  <c r="T25" i="14"/>
  <c r="M25" i="14"/>
  <c r="N25" i="14"/>
  <c r="S25" i="14"/>
  <c r="P24" i="14"/>
  <c r="R24" i="14"/>
  <c r="T24" i="14"/>
  <c r="M24" i="14"/>
  <c r="N24" i="14"/>
  <c r="S24" i="14"/>
  <c r="P23" i="14"/>
  <c r="R23" i="14"/>
  <c r="T23" i="14"/>
  <c r="M23" i="14"/>
  <c r="N23" i="14"/>
  <c r="S23" i="14"/>
  <c r="Z22" i="14"/>
  <c r="W22" i="14"/>
  <c r="P22" i="14"/>
  <c r="R22" i="14"/>
  <c r="T22" i="14"/>
  <c r="M22" i="14"/>
  <c r="N22" i="14"/>
  <c r="S22" i="14"/>
  <c r="Z21" i="14"/>
  <c r="W21" i="14"/>
  <c r="P21" i="14"/>
  <c r="R21" i="14"/>
  <c r="T21" i="14"/>
  <c r="M21" i="14"/>
  <c r="N21" i="14"/>
  <c r="S21" i="14"/>
  <c r="Z20" i="14"/>
  <c r="W20" i="14"/>
  <c r="P20" i="14"/>
  <c r="R20" i="14"/>
  <c r="T20" i="14"/>
  <c r="M20" i="14"/>
  <c r="N20" i="14"/>
  <c r="S20" i="14"/>
  <c r="Z19" i="14"/>
  <c r="W19" i="14"/>
  <c r="P19" i="14"/>
  <c r="R19" i="14"/>
  <c r="T19" i="14"/>
  <c r="M19" i="14"/>
  <c r="N19" i="14"/>
  <c r="S19" i="14"/>
  <c r="P18" i="14"/>
  <c r="R18" i="14"/>
  <c r="T18" i="14"/>
  <c r="M18" i="14"/>
  <c r="N18" i="14"/>
  <c r="S18" i="14"/>
  <c r="W17" i="14"/>
  <c r="P17" i="14"/>
  <c r="R17" i="14"/>
  <c r="T17" i="14"/>
  <c r="M17" i="14"/>
  <c r="N17" i="14"/>
  <c r="S17" i="14"/>
  <c r="W16" i="14"/>
  <c r="P16" i="14"/>
  <c r="R16" i="14"/>
  <c r="T16" i="14"/>
  <c r="M16" i="14"/>
  <c r="N16" i="14"/>
  <c r="S16" i="14"/>
  <c r="P15" i="14"/>
  <c r="R15" i="14"/>
  <c r="T15" i="14"/>
  <c r="M15" i="14"/>
  <c r="N15" i="14"/>
  <c r="S15" i="14"/>
  <c r="W14" i="14"/>
  <c r="X14" i="14"/>
  <c r="Y14" i="14"/>
  <c r="P14" i="14"/>
  <c r="R14" i="14"/>
  <c r="T14" i="14"/>
  <c r="M14" i="14"/>
  <c r="N14" i="14"/>
  <c r="S14" i="14"/>
  <c r="W13" i="14"/>
  <c r="X13" i="14"/>
  <c r="Y13" i="14"/>
  <c r="P13" i="14"/>
  <c r="R13" i="14"/>
  <c r="T13" i="14"/>
  <c r="M13" i="14"/>
  <c r="N13" i="14"/>
  <c r="S13" i="14"/>
  <c r="W12" i="14"/>
  <c r="X12" i="14"/>
  <c r="Y12" i="14"/>
  <c r="P12" i="14"/>
  <c r="R12" i="14"/>
  <c r="T12" i="14"/>
  <c r="M12" i="14"/>
  <c r="N12" i="14"/>
  <c r="S12" i="14"/>
  <c r="W11" i="14"/>
  <c r="X11" i="14"/>
  <c r="Y11" i="14"/>
  <c r="P11" i="14"/>
  <c r="R11" i="14"/>
  <c r="T11" i="14"/>
  <c r="M11" i="14"/>
  <c r="N11" i="14"/>
  <c r="S11" i="14"/>
  <c r="W10" i="14"/>
  <c r="Y10" i="14"/>
  <c r="X10" i="14"/>
  <c r="P10" i="14"/>
  <c r="R10" i="14"/>
  <c r="T10" i="14"/>
  <c r="M10" i="14"/>
  <c r="N10" i="14"/>
  <c r="S10" i="14"/>
  <c r="P9" i="14"/>
  <c r="R9" i="14"/>
  <c r="T9" i="14"/>
  <c r="M9" i="14"/>
  <c r="N9" i="14"/>
  <c r="S9" i="14"/>
  <c r="P8" i="14"/>
  <c r="R8" i="14"/>
  <c r="T8" i="14"/>
  <c r="M8" i="14"/>
  <c r="N8" i="14"/>
  <c r="S8" i="14"/>
  <c r="W7" i="14"/>
  <c r="X7" i="14"/>
  <c r="Y7" i="14"/>
  <c r="P7" i="14"/>
  <c r="R7" i="14"/>
  <c r="T7" i="14"/>
  <c r="M7" i="14"/>
  <c r="N7" i="14"/>
  <c r="S7" i="14"/>
  <c r="W6" i="14"/>
  <c r="X6" i="14"/>
  <c r="Y6" i="14"/>
  <c r="P6" i="14"/>
  <c r="R6" i="14"/>
  <c r="T6" i="14"/>
  <c r="M6" i="14"/>
  <c r="N6" i="14"/>
  <c r="S6" i="14"/>
  <c r="W5" i="14"/>
  <c r="X5" i="14"/>
  <c r="Y5" i="14"/>
  <c r="P5" i="14"/>
  <c r="R5" i="14"/>
  <c r="T5" i="14"/>
  <c r="M5" i="14"/>
  <c r="N5" i="14"/>
  <c r="S5" i="14"/>
  <c r="W4" i="14"/>
  <c r="X4" i="14"/>
  <c r="Y4" i="14"/>
  <c r="P4" i="14"/>
  <c r="R4" i="14"/>
  <c r="T4" i="14"/>
  <c r="M4" i="14"/>
  <c r="N4" i="14"/>
  <c r="S4" i="14"/>
  <c r="W3" i="14"/>
  <c r="X3" i="14"/>
  <c r="Y3" i="14"/>
  <c r="P3" i="14"/>
  <c r="R3" i="14"/>
  <c r="T3" i="14"/>
  <c r="M3" i="14"/>
  <c r="N3" i="14"/>
  <c r="S3" i="14"/>
  <c r="P2" i="14"/>
  <c r="R2" i="14"/>
  <c r="T2" i="14"/>
  <c r="M2" i="14"/>
  <c r="N2" i="14"/>
  <c r="S2" i="14"/>
  <c r="H37" i="3"/>
  <c r="E43" i="3"/>
  <c r="K43" i="3"/>
  <c r="E37" i="3"/>
  <c r="K37" i="3"/>
  <c r="H2" i="3"/>
  <c r="E2" i="3"/>
  <c r="K2" i="3"/>
  <c r="H3" i="3"/>
  <c r="E3" i="3"/>
  <c r="K3" i="3"/>
  <c r="H4" i="3"/>
  <c r="E4" i="3"/>
  <c r="K4" i="3"/>
  <c r="H5" i="3"/>
  <c r="E5" i="3"/>
  <c r="K5" i="3"/>
  <c r="H6" i="3"/>
  <c r="E6" i="3"/>
  <c r="K6" i="3"/>
  <c r="H7" i="3"/>
  <c r="E7" i="3"/>
  <c r="K7" i="3"/>
  <c r="H8" i="3"/>
  <c r="E8" i="3"/>
  <c r="K8" i="3"/>
  <c r="H9" i="3"/>
  <c r="E9" i="3"/>
  <c r="K9" i="3"/>
  <c r="H10" i="3"/>
  <c r="E10" i="3"/>
  <c r="K10" i="3"/>
  <c r="H11" i="3"/>
  <c r="E11" i="3"/>
  <c r="K11" i="3"/>
  <c r="H12" i="3"/>
  <c r="E12" i="3"/>
  <c r="K12" i="3"/>
  <c r="H13" i="3"/>
  <c r="E13" i="3"/>
  <c r="K13" i="3"/>
  <c r="H14" i="3"/>
  <c r="E14" i="3"/>
  <c r="K14" i="3"/>
  <c r="H15" i="3"/>
  <c r="E15" i="3"/>
  <c r="K15" i="3"/>
  <c r="H16" i="3"/>
  <c r="E16" i="3"/>
  <c r="K16" i="3"/>
  <c r="H17" i="3"/>
  <c r="E17" i="3"/>
  <c r="K17" i="3"/>
  <c r="H18" i="3"/>
  <c r="E18" i="3"/>
  <c r="K18" i="3"/>
  <c r="H19" i="3"/>
  <c r="E19" i="3"/>
  <c r="K19" i="3"/>
  <c r="H20" i="3"/>
  <c r="E20" i="3"/>
  <c r="K20" i="3"/>
  <c r="H21" i="3"/>
  <c r="E21" i="3"/>
  <c r="K21" i="3"/>
  <c r="H22" i="3"/>
  <c r="E22" i="3"/>
  <c r="K22" i="3"/>
  <c r="H23" i="3"/>
  <c r="E23" i="3"/>
  <c r="K23" i="3"/>
  <c r="H24" i="3"/>
  <c r="E24" i="3"/>
  <c r="K24" i="3"/>
  <c r="H25" i="3"/>
  <c r="E25" i="3"/>
  <c r="K25" i="3"/>
  <c r="H26" i="3"/>
  <c r="E26" i="3"/>
  <c r="K26" i="3"/>
  <c r="H27" i="3"/>
  <c r="E27" i="3"/>
  <c r="K27" i="3"/>
  <c r="H28" i="3"/>
  <c r="E28" i="3"/>
  <c r="K28" i="3"/>
  <c r="H29" i="3"/>
  <c r="E29" i="3"/>
  <c r="K29" i="3"/>
  <c r="H30" i="3"/>
  <c r="E30" i="3"/>
  <c r="K30" i="3"/>
  <c r="H31" i="3"/>
  <c r="E31" i="3"/>
  <c r="K31" i="3"/>
  <c r="H32" i="3"/>
  <c r="E32" i="3"/>
  <c r="K32" i="3"/>
  <c r="H33" i="3"/>
  <c r="E33" i="3"/>
  <c r="K33" i="3"/>
  <c r="H34" i="3"/>
  <c r="E34" i="3"/>
  <c r="K34" i="3"/>
  <c r="H35" i="3"/>
  <c r="E35" i="3"/>
  <c r="K35" i="3"/>
  <c r="H36" i="3"/>
  <c r="E36" i="3"/>
  <c r="K36" i="3"/>
  <c r="E38" i="3"/>
  <c r="K38" i="3"/>
  <c r="E39" i="3"/>
  <c r="K39" i="3"/>
  <c r="E40" i="3"/>
  <c r="K40" i="3"/>
  <c r="E41" i="3"/>
  <c r="K41" i="3"/>
  <c r="E42" i="3"/>
  <c r="K42" i="3"/>
  <c r="L43" i="3"/>
  <c r="M43" i="3"/>
  <c r="N43" i="3"/>
  <c r="N37" i="3"/>
  <c r="N2" i="3"/>
  <c r="N3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8" i="3"/>
  <c r="N39" i="3"/>
  <c r="N40" i="3"/>
  <c r="N41" i="3"/>
  <c r="N42" i="3"/>
  <c r="O43" i="3"/>
  <c r="P43" i="3"/>
  <c r="P37" i="3"/>
  <c r="P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8" i="3"/>
  <c r="P39" i="3"/>
  <c r="P40" i="3"/>
  <c r="P41" i="3"/>
  <c r="P42" i="3"/>
  <c r="Q43" i="3"/>
  <c r="R43" i="3"/>
  <c r="S43" i="3"/>
  <c r="E44" i="3"/>
  <c r="K44" i="3"/>
  <c r="L44" i="3"/>
  <c r="M44" i="3"/>
  <c r="N44" i="3"/>
  <c r="O44" i="3"/>
  <c r="P44" i="3"/>
  <c r="Q44" i="3"/>
  <c r="R44" i="3"/>
  <c r="S44" i="3"/>
  <c r="E45" i="3"/>
  <c r="K45" i="3"/>
  <c r="L45" i="3"/>
  <c r="M45" i="3"/>
  <c r="N45" i="3"/>
  <c r="O45" i="3"/>
  <c r="P45" i="3"/>
  <c r="Q45" i="3"/>
  <c r="R45" i="3"/>
  <c r="S45" i="3"/>
  <c r="E46" i="3"/>
  <c r="K46" i="3"/>
  <c r="L46" i="3"/>
  <c r="M46" i="3"/>
  <c r="N46" i="3"/>
  <c r="O46" i="3"/>
  <c r="P46" i="3"/>
  <c r="Q46" i="3"/>
  <c r="R46" i="3"/>
  <c r="S46" i="3"/>
  <c r="E47" i="3"/>
  <c r="K47" i="3"/>
  <c r="L47" i="3"/>
  <c r="M47" i="3"/>
  <c r="N47" i="3"/>
  <c r="O47" i="3"/>
  <c r="P47" i="3"/>
  <c r="Q47" i="3"/>
  <c r="R47" i="3"/>
  <c r="S47" i="3"/>
  <c r="E48" i="3"/>
  <c r="K48" i="3"/>
  <c r="L48" i="3"/>
  <c r="M48" i="3"/>
  <c r="N48" i="3"/>
  <c r="O48" i="3"/>
  <c r="P48" i="3"/>
  <c r="Q48" i="3"/>
  <c r="R48" i="3"/>
  <c r="S48" i="3"/>
  <c r="E49" i="3"/>
  <c r="K49" i="3"/>
  <c r="L49" i="3"/>
  <c r="M49" i="3"/>
  <c r="N49" i="3"/>
  <c r="O49" i="3"/>
  <c r="P49" i="3"/>
  <c r="Q49" i="3"/>
  <c r="R49" i="3"/>
  <c r="S49" i="3"/>
  <c r="E50" i="3"/>
  <c r="K50" i="3"/>
  <c r="L50" i="3"/>
  <c r="M50" i="3"/>
  <c r="N50" i="3"/>
  <c r="O50" i="3"/>
  <c r="P50" i="3"/>
  <c r="Q50" i="3"/>
  <c r="R50" i="3"/>
  <c r="S50" i="3"/>
  <c r="E51" i="3"/>
  <c r="K51" i="3"/>
  <c r="L51" i="3"/>
  <c r="M51" i="3"/>
  <c r="N51" i="3"/>
  <c r="O51" i="3"/>
  <c r="P51" i="3"/>
  <c r="Q51" i="3"/>
  <c r="R51" i="3"/>
  <c r="S51" i="3"/>
  <c r="E52" i="3"/>
  <c r="K52" i="3"/>
  <c r="L52" i="3"/>
  <c r="M52" i="3"/>
  <c r="N52" i="3"/>
  <c r="O52" i="3"/>
  <c r="P52" i="3"/>
  <c r="Q52" i="3"/>
  <c r="R52" i="3"/>
  <c r="S52" i="3"/>
  <c r="L37" i="3"/>
  <c r="M37" i="3"/>
  <c r="O37" i="3"/>
  <c r="Q37" i="3"/>
  <c r="R37" i="3"/>
  <c r="S37" i="3"/>
  <c r="L38" i="3"/>
  <c r="M38" i="3"/>
  <c r="O38" i="3"/>
  <c r="Q38" i="3"/>
  <c r="R38" i="3"/>
  <c r="S38" i="3"/>
  <c r="L39" i="3"/>
  <c r="M39" i="3"/>
  <c r="O39" i="3"/>
  <c r="Q39" i="3"/>
  <c r="R39" i="3"/>
  <c r="S39" i="3"/>
  <c r="L40" i="3"/>
  <c r="M40" i="3"/>
  <c r="O40" i="3"/>
  <c r="Q40" i="3"/>
  <c r="R40" i="3"/>
  <c r="S40" i="3"/>
  <c r="L41" i="3"/>
  <c r="M41" i="3"/>
  <c r="O41" i="3"/>
  <c r="Q41" i="3"/>
  <c r="R41" i="3"/>
  <c r="S41" i="3"/>
  <c r="L42" i="3"/>
  <c r="M42" i="3"/>
  <c r="O42" i="3"/>
  <c r="Q42" i="3"/>
  <c r="R42" i="3"/>
  <c r="S42" i="3"/>
  <c r="Q3" i="3"/>
  <c r="Q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4" i="3"/>
  <c r="Q35" i="3"/>
  <c r="Q36" i="3"/>
  <c r="Q2" i="3"/>
  <c r="O3" i="3"/>
  <c r="S3" i="3"/>
  <c r="O4" i="3"/>
  <c r="S4" i="3"/>
  <c r="O5" i="3"/>
  <c r="S5" i="3"/>
  <c r="O6" i="3"/>
  <c r="S6" i="3"/>
  <c r="O7" i="3"/>
  <c r="S7" i="3"/>
  <c r="O8" i="3"/>
  <c r="S8" i="3"/>
  <c r="O9" i="3"/>
  <c r="S9" i="3"/>
  <c r="O10" i="3"/>
  <c r="S10" i="3"/>
  <c r="O11" i="3"/>
  <c r="S11" i="3"/>
  <c r="O12" i="3"/>
  <c r="S12" i="3"/>
  <c r="O13" i="3"/>
  <c r="S13" i="3"/>
  <c r="O14" i="3"/>
  <c r="S14" i="3"/>
  <c r="O15" i="3"/>
  <c r="S15" i="3"/>
  <c r="O16" i="3"/>
  <c r="S16" i="3"/>
  <c r="O17" i="3"/>
  <c r="S17" i="3"/>
  <c r="O18" i="3"/>
  <c r="S18" i="3"/>
  <c r="O19" i="3"/>
  <c r="S19" i="3"/>
  <c r="O20" i="3"/>
  <c r="S20" i="3"/>
  <c r="O21" i="3"/>
  <c r="S21" i="3"/>
  <c r="O22" i="3"/>
  <c r="S22" i="3"/>
  <c r="O23" i="3"/>
  <c r="S23" i="3"/>
  <c r="O24" i="3"/>
  <c r="S24" i="3"/>
  <c r="O25" i="3"/>
  <c r="S25" i="3"/>
  <c r="O26" i="3"/>
  <c r="S26" i="3"/>
  <c r="O27" i="3"/>
  <c r="S27" i="3"/>
  <c r="O28" i="3"/>
  <c r="S28" i="3"/>
  <c r="O29" i="3"/>
  <c r="S29" i="3"/>
  <c r="O30" i="3"/>
  <c r="S30" i="3"/>
  <c r="O31" i="3"/>
  <c r="S31" i="3"/>
  <c r="O32" i="3"/>
  <c r="S32" i="3"/>
  <c r="O33" i="3"/>
  <c r="S33" i="3"/>
  <c r="O34" i="3"/>
  <c r="S34" i="3"/>
  <c r="O35" i="3"/>
  <c r="S35" i="3"/>
  <c r="O36" i="3"/>
  <c r="S36" i="3"/>
  <c r="O2" i="3"/>
  <c r="S2" i="3"/>
  <c r="L3" i="3"/>
  <c r="M3" i="3"/>
  <c r="R3" i="3"/>
  <c r="L4" i="3"/>
  <c r="M4" i="3"/>
  <c r="R4" i="3"/>
  <c r="L5" i="3"/>
  <c r="M5" i="3"/>
  <c r="R5" i="3"/>
  <c r="L6" i="3"/>
  <c r="M6" i="3"/>
  <c r="R6" i="3"/>
  <c r="L7" i="3"/>
  <c r="M7" i="3"/>
  <c r="R7" i="3"/>
  <c r="L8" i="3"/>
  <c r="M8" i="3"/>
  <c r="R8" i="3"/>
  <c r="L9" i="3"/>
  <c r="M9" i="3"/>
  <c r="R9" i="3"/>
  <c r="L10" i="3"/>
  <c r="M10" i="3"/>
  <c r="R10" i="3"/>
  <c r="L11" i="3"/>
  <c r="M11" i="3"/>
  <c r="R11" i="3"/>
  <c r="L12" i="3"/>
  <c r="M12" i="3"/>
  <c r="R12" i="3"/>
  <c r="L13" i="3"/>
  <c r="M13" i="3"/>
  <c r="R13" i="3"/>
  <c r="L14" i="3"/>
  <c r="M14" i="3"/>
  <c r="R14" i="3"/>
  <c r="L15" i="3"/>
  <c r="M15" i="3"/>
  <c r="R15" i="3"/>
  <c r="L16" i="3"/>
  <c r="M16" i="3"/>
  <c r="R16" i="3"/>
  <c r="L17" i="3"/>
  <c r="M17" i="3"/>
  <c r="R17" i="3"/>
  <c r="L18" i="3"/>
  <c r="M18" i="3"/>
  <c r="R18" i="3"/>
  <c r="L19" i="3"/>
  <c r="M19" i="3"/>
  <c r="R19" i="3"/>
  <c r="L20" i="3"/>
  <c r="M20" i="3"/>
  <c r="R20" i="3"/>
  <c r="L21" i="3"/>
  <c r="M21" i="3"/>
  <c r="R21" i="3"/>
  <c r="L22" i="3"/>
  <c r="M22" i="3"/>
  <c r="R22" i="3"/>
  <c r="L23" i="3"/>
  <c r="M23" i="3"/>
  <c r="R23" i="3"/>
  <c r="L24" i="3"/>
  <c r="M24" i="3"/>
  <c r="R24" i="3"/>
  <c r="L25" i="3"/>
  <c r="M25" i="3"/>
  <c r="R25" i="3"/>
  <c r="L26" i="3"/>
  <c r="M26" i="3"/>
  <c r="R26" i="3"/>
  <c r="L27" i="3"/>
  <c r="M27" i="3"/>
  <c r="R27" i="3"/>
  <c r="L28" i="3"/>
  <c r="M28" i="3"/>
  <c r="R28" i="3"/>
  <c r="L29" i="3"/>
  <c r="M29" i="3"/>
  <c r="R29" i="3"/>
  <c r="L30" i="3"/>
  <c r="M30" i="3"/>
  <c r="R30" i="3"/>
  <c r="L31" i="3"/>
  <c r="M31" i="3"/>
  <c r="R31" i="3"/>
  <c r="L32" i="3"/>
  <c r="M32" i="3"/>
  <c r="R32" i="3"/>
  <c r="L33" i="3"/>
  <c r="M33" i="3"/>
  <c r="R33" i="3"/>
  <c r="L34" i="3"/>
  <c r="M34" i="3"/>
  <c r="R34" i="3"/>
  <c r="L35" i="3"/>
  <c r="M35" i="3"/>
  <c r="R35" i="3"/>
  <c r="L36" i="3"/>
  <c r="M36" i="3"/>
  <c r="R36" i="3"/>
  <c r="L2" i="3"/>
  <c r="M2" i="3"/>
  <c r="R2" i="3"/>
  <c r="Y19" i="3"/>
  <c r="Y22" i="3"/>
  <c r="Y20" i="3"/>
  <c r="Y21" i="3"/>
  <c r="V22" i="3"/>
  <c r="V14" i="3"/>
  <c r="W14" i="3"/>
  <c r="X14" i="3"/>
  <c r="V7" i="3"/>
  <c r="W7" i="3"/>
  <c r="X7" i="3"/>
  <c r="V19" i="3"/>
  <c r="V20" i="3"/>
  <c r="V21" i="3"/>
  <c r="V16" i="3"/>
  <c r="V17" i="3"/>
  <c r="V13" i="3"/>
  <c r="W13" i="3"/>
  <c r="X13" i="3"/>
  <c r="V12" i="3"/>
  <c r="W12" i="3"/>
  <c r="X12" i="3"/>
  <c r="V11" i="3"/>
  <c r="W11" i="3"/>
  <c r="X11" i="3"/>
  <c r="V10" i="3"/>
  <c r="X10" i="3"/>
  <c r="W10" i="3"/>
  <c r="V6" i="3"/>
  <c r="W6" i="3"/>
  <c r="X6" i="3"/>
  <c r="V5" i="3"/>
  <c r="W5" i="3"/>
  <c r="X5" i="3"/>
  <c r="V4" i="3"/>
  <c r="W4" i="3"/>
  <c r="X4" i="3"/>
  <c r="V3" i="3"/>
  <c r="W3" i="3"/>
  <c r="X3" i="3"/>
</calcChain>
</file>

<file path=xl/sharedStrings.xml><?xml version="1.0" encoding="utf-8"?>
<sst xmlns="http://schemas.openxmlformats.org/spreadsheetml/2006/main" count="463" uniqueCount="115">
  <si>
    <t>School</t>
  </si>
  <si>
    <t>Year</t>
  </si>
  <si>
    <t>Credits</t>
  </si>
  <si>
    <t>Sem. Credits</t>
  </si>
  <si>
    <t>Grade</t>
  </si>
  <si>
    <t>Letter Grade</t>
  </si>
  <si>
    <t>AMCAS Grade</t>
  </si>
  <si>
    <t>BCMP</t>
  </si>
  <si>
    <t>CCCC</t>
  </si>
  <si>
    <t>Highschool</t>
  </si>
  <si>
    <t>Class</t>
  </si>
  <si>
    <t>C</t>
  </si>
  <si>
    <t>F</t>
  </si>
  <si>
    <t>SLCC</t>
  </si>
  <si>
    <t>A</t>
  </si>
  <si>
    <t>B</t>
  </si>
  <si>
    <t>B+</t>
  </si>
  <si>
    <t>SCCC</t>
  </si>
  <si>
    <t>UW</t>
  </si>
  <si>
    <t>A-</t>
  </si>
  <si>
    <t>AMCAS Grade Points</t>
  </si>
  <si>
    <t>Enter Grade</t>
  </si>
  <si>
    <t>A+</t>
  </si>
  <si>
    <t>B-</t>
  </si>
  <si>
    <t>C-</t>
  </si>
  <si>
    <t>C+</t>
  </si>
  <si>
    <t>D</t>
  </si>
  <si>
    <t>D-</t>
  </si>
  <si>
    <t>D+</t>
  </si>
  <si>
    <t>AMCAS Quarter System Units</t>
  </si>
  <si>
    <t xml:space="preserve">Semester Conversion </t>
  </si>
  <si>
    <t>Enter Quarter Units</t>
  </si>
  <si>
    <t>Quarter</t>
  </si>
  <si>
    <t>x</t>
  </si>
  <si>
    <t>Freshman</t>
  </si>
  <si>
    <t>Sophomore</t>
  </si>
  <si>
    <t>Junior</t>
  </si>
  <si>
    <t>Senior</t>
  </si>
  <si>
    <t>GPA</t>
  </si>
  <si>
    <t>sGPA</t>
  </si>
  <si>
    <t>QP</t>
  </si>
  <si>
    <t>Sem. Hours</t>
  </si>
  <si>
    <t>cGPA Freshman</t>
  </si>
  <si>
    <t>cGPA Sophomore</t>
  </si>
  <si>
    <t>cGPA Junior</t>
  </si>
  <si>
    <t>cGPA Senior</t>
  </si>
  <si>
    <t>4.0-3.9</t>
  </si>
  <si>
    <t>3.8-3.5</t>
  </si>
  <si>
    <t>3.4-3.2</t>
  </si>
  <si>
    <t>3.1-2.9</t>
  </si>
  <si>
    <t>2.8-2.5</t>
  </si>
  <si>
    <t>2.4-2.2</t>
  </si>
  <si>
    <t>2.1-1.9</t>
  </si>
  <si>
    <t>1.8-1.5</t>
  </si>
  <si>
    <t>1.4-1.2</t>
  </si>
  <si>
    <t>1.1-0.9</t>
  </si>
  <si>
    <t>0.8-0.7</t>
  </si>
  <si>
    <t>UW numerical grade</t>
  </si>
  <si>
    <t>Letter equiv</t>
  </si>
  <si>
    <t>cGPA</t>
  </si>
  <si>
    <t>cSGPA</t>
  </si>
  <si>
    <t>cSGPA Sophomore</t>
  </si>
  <si>
    <t>cSGPA Junior</t>
  </si>
  <si>
    <t>cSGPA Senior</t>
  </si>
  <si>
    <t>cSGPA Freshman</t>
  </si>
  <si>
    <t>GPA By Year</t>
  </si>
  <si>
    <t>SQP</t>
  </si>
  <si>
    <t>c SQP</t>
  </si>
  <si>
    <t>cCredits</t>
  </si>
  <si>
    <t>cQP</t>
  </si>
  <si>
    <t>c Scredits</t>
  </si>
  <si>
    <t>S Credit</t>
  </si>
  <si>
    <t>sGPA by Year</t>
  </si>
  <si>
    <t>Quality points</t>
  </si>
  <si>
    <t>cum QP</t>
  </si>
  <si>
    <t>cum Credits</t>
  </si>
  <si>
    <t>Repeat</t>
  </si>
  <si>
    <t>Overall Cum. sGPA</t>
  </si>
  <si>
    <t>Overall Cum. GPA</t>
  </si>
  <si>
    <t>Math 1010</t>
  </si>
  <si>
    <t>Bio 1010</t>
  </si>
  <si>
    <t>Chem 1010</t>
  </si>
  <si>
    <t>Math 1011</t>
  </si>
  <si>
    <t>Bio 1011</t>
  </si>
  <si>
    <t>Chem 1011</t>
  </si>
  <si>
    <t>Math 1012</t>
  </si>
  <si>
    <t>Bio 1012</t>
  </si>
  <si>
    <t>Chem 1012</t>
  </si>
  <si>
    <t>Math 1013</t>
  </si>
  <si>
    <t>Bio 1013</t>
  </si>
  <si>
    <t>Chem 1013</t>
  </si>
  <si>
    <t>Math 1014</t>
  </si>
  <si>
    <t>Bio 1014</t>
  </si>
  <si>
    <t>Chem 1014</t>
  </si>
  <si>
    <t>Math 1015</t>
  </si>
  <si>
    <t>Bio 1015</t>
  </si>
  <si>
    <t>Chem 1015</t>
  </si>
  <si>
    <t>Math 1016</t>
  </si>
  <si>
    <t>Bio 1016</t>
  </si>
  <si>
    <t>Chem 1016</t>
  </si>
  <si>
    <t>Math 1017</t>
  </si>
  <si>
    <t>Bio 1017</t>
  </si>
  <si>
    <t>Chem 1017</t>
  </si>
  <si>
    <t>Math 1018</t>
  </si>
  <si>
    <t>Bio 1018</t>
  </si>
  <si>
    <t>Chem 1018</t>
  </si>
  <si>
    <t>Math 1019</t>
  </si>
  <si>
    <t>Bio 1019</t>
  </si>
  <si>
    <t>Chem 1019</t>
  </si>
  <si>
    <t>Math 1020</t>
  </si>
  <si>
    <t>Bio 1020</t>
  </si>
  <si>
    <t>Chem 1020</t>
  </si>
  <si>
    <t>Math 1021</t>
  </si>
  <si>
    <t>Bio 1021</t>
  </si>
  <si>
    <t>Chem 1021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</si>
</sst>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Arial"/>
      <family val="2"/>
    </font>
    <font>
      <sz val="10"/>
      <color indexed="8"/>
      <name val="Albany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4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horizontal="center" wrapText="1"/>
    </xf>
    <xf numFmtId="0" fontId="1" fillId="0" borderId="0" xfId="0" applyFont="1"/>
    <xf numFmtId="0" fontId="0" fillId="2" borderId="2" xfId="0" applyFill="1" applyBorder="1"/>
    <xf numFmtId="0" fontId="0" fillId="2" borderId="0" xfId="0" applyFill="1" applyBorder="1"/>
    <xf numFmtId="0" fontId="0" fillId="2" borderId="8" xfId="0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2" fontId="0" fillId="2" borderId="6" xfId="0" applyNumberFormat="1" applyFill="1" applyBorder="1"/>
    <xf numFmtId="2" fontId="0" fillId="2" borderId="9" xfId="0" applyNumberFormat="1" applyFill="1" applyBorder="1"/>
    <xf numFmtId="0" fontId="1" fillId="3" borderId="2" xfId="0" applyFont="1" applyFill="1" applyBorder="1"/>
    <xf numFmtId="2" fontId="0" fillId="3" borderId="4" xfId="0" applyNumberFormat="1" applyFill="1" applyBorder="1"/>
    <xf numFmtId="0" fontId="1" fillId="3" borderId="7" xfId="0" applyFont="1" applyFill="1" applyBorder="1"/>
    <xf numFmtId="2" fontId="0" fillId="3" borderId="9" xfId="0" applyNumberFormat="1" applyFill="1" applyBorder="1"/>
    <xf numFmtId="0" fontId="0" fillId="4" borderId="2" xfId="0" applyFill="1" applyBorder="1"/>
    <xf numFmtId="0" fontId="1" fillId="4" borderId="3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0" fontId="0" fillId="4" borderId="0" xfId="0" applyFill="1" applyBorder="1"/>
    <xf numFmtId="2" fontId="0" fillId="4" borderId="6" xfId="0" applyNumberFormat="1" applyFill="1" applyBorder="1"/>
    <xf numFmtId="0" fontId="1" fillId="4" borderId="7" xfId="0" applyFont="1" applyFill="1" applyBorder="1"/>
    <xf numFmtId="0" fontId="0" fillId="4" borderId="8" xfId="0" applyFill="1" applyBorder="1"/>
    <xf numFmtId="2" fontId="0" fillId="4" borderId="9" xfId="0" applyNumberFormat="1" applyFill="1" applyBorder="1"/>
    <xf numFmtId="0" fontId="0" fillId="5" borderId="2" xfId="0" applyFill="1" applyBorder="1"/>
    <xf numFmtId="2" fontId="0" fillId="5" borderId="4" xfId="0" applyNumberFormat="1" applyFill="1" applyBorder="1"/>
    <xf numFmtId="0" fontId="0" fillId="5" borderId="5" xfId="0" applyFill="1" applyBorder="1"/>
    <xf numFmtId="2" fontId="0" fillId="5" borderId="6" xfId="0" applyNumberFormat="1" applyFill="1" applyBorder="1"/>
    <xf numFmtId="0" fontId="0" fillId="5" borderId="7" xfId="0" applyFill="1" applyBorder="1"/>
    <xf numFmtId="2" fontId="0" fillId="5" borderId="9" xfId="0" applyNumberFormat="1" applyFill="1" applyBorder="1"/>
    <xf numFmtId="0" fontId="2" fillId="0" borderId="10" xfId="0" applyFont="1" applyFill="1" applyBorder="1" applyAlignment="1">
      <alignment horizontal="center" wrapText="1"/>
    </xf>
    <xf numFmtId="0" fontId="0" fillId="6" borderId="2" xfId="0" applyFill="1" applyBorder="1"/>
    <xf numFmtId="0" fontId="0" fillId="6" borderId="5" xfId="0" applyFill="1" applyBorder="1"/>
    <xf numFmtId="0" fontId="0" fillId="6" borderId="7" xfId="0" applyFill="1" applyBorder="1"/>
    <xf numFmtId="2" fontId="0" fillId="6" borderId="4" xfId="0" applyNumberFormat="1" applyFill="1" applyBorder="1"/>
    <xf numFmtId="2" fontId="0" fillId="6" borderId="6" xfId="0" applyNumberFormat="1" applyFill="1" applyBorder="1"/>
    <xf numFmtId="2" fontId="0" fillId="6" borderId="9" xfId="0" applyNumberFormat="1" applyFill="1" applyBorder="1"/>
    <xf numFmtId="2" fontId="0" fillId="0" borderId="0" xfId="0" applyNumberFormat="1"/>
    <xf numFmtId="0" fontId="1" fillId="2" borderId="3" xfId="0" applyFont="1" applyFill="1" applyBorder="1" applyAlignment="1">
      <alignment horizontal="right"/>
    </xf>
    <xf numFmtId="0" fontId="1" fillId="2" borderId="4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1" fillId="4" borderId="4" xfId="0" applyFont="1" applyFill="1" applyBorder="1" applyAlignment="1">
      <alignment horizontal="right"/>
    </xf>
    <xf numFmtId="0" fontId="0" fillId="0" borderId="0" xfId="0" applyFill="1"/>
    <xf numFmtId="0" fontId="1" fillId="7" borderId="0" xfId="0" applyFont="1" applyFill="1"/>
    <xf numFmtId="2" fontId="1" fillId="7" borderId="0" xfId="0" applyNumberFormat="1" applyFont="1" applyFill="1"/>
    <xf numFmtId="0" fontId="1" fillId="8" borderId="0" xfId="0" applyFont="1" applyFill="1"/>
    <xf numFmtId="0" fontId="1" fillId="9" borderId="0" xfId="0" applyFont="1" applyFill="1"/>
    <xf numFmtId="0" fontId="6" fillId="0" borderId="0" xfId="0" applyFont="1"/>
  </cellXfs>
  <cellStyles count="4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Year Delineated sGPA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48000">
                  <a:srgbClr val="FF0000"/>
                </a:gs>
                <a:gs pos="100000">
                  <a:srgbClr val="FFFF00"/>
                </a:gs>
              </a:gsLst>
              <a:lin ang="16200000" scaled="0"/>
              <a:tileRect/>
            </a:gradFill>
          </c:spPr>
          <c:invertIfNegative val="0"/>
          <c:cat>
            <c:strRef>
              <c:f>AMCAS!$U$10:$U$14</c:f>
              <c:strCache>
                <c:ptCount val="5"/>
                <c:pt idx="0">
                  <c:v>Highschool</c:v>
                </c:pt>
                <c:pt idx="1">
                  <c:v>Freshman</c:v>
                </c:pt>
                <c:pt idx="2">
                  <c:v>Sophomore</c:v>
                </c:pt>
                <c:pt idx="3">
                  <c:v>Junior</c:v>
                </c:pt>
                <c:pt idx="4">
                  <c:v>Senior</c:v>
                </c:pt>
              </c:strCache>
            </c:strRef>
          </c:cat>
          <c:val>
            <c:numRef>
              <c:f>AMCAS!$X$10:$X$14</c:f>
              <c:numCache>
                <c:formatCode>0.00</c:formatCode>
                <c:ptCount val="5"/>
                <c:pt idx="0">
                  <c:v>0.0</c:v>
                </c:pt>
                <c:pt idx="1">
                  <c:v>3.7</c:v>
                </c:pt>
                <c:pt idx="2">
                  <c:v>3.383561643835616</c:v>
                </c:pt>
                <c:pt idx="3">
                  <c:v>3.583333333333333</c:v>
                </c:pt>
                <c:pt idx="4">
                  <c:v>3.294202898550725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34018808"/>
        <c:axId val="-2145376600"/>
      </c:barChart>
      <c:catAx>
        <c:axId val="-21340188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145376600"/>
        <c:crosses val="autoZero"/>
        <c:auto val="1"/>
        <c:lblAlgn val="ctr"/>
        <c:lblOffset val="100"/>
        <c:noMultiLvlLbl val="0"/>
      </c:catAx>
      <c:valAx>
        <c:axId val="-2145376600"/>
        <c:scaling>
          <c:orientation val="minMax"/>
          <c:max val="4.0"/>
          <c:min val="0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40188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Year Delineated GPA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GPA</c:v>
          </c:tx>
          <c:spPr>
            <a:gradFill flip="none" rotWithShape="1">
              <a:gsLst>
                <a:gs pos="51000">
                  <a:srgbClr val="FF0000"/>
                </a:gs>
                <a:gs pos="100000">
                  <a:srgbClr val="FFFF00"/>
                </a:gs>
              </a:gsLst>
              <a:lin ang="16200000" scaled="0"/>
              <a:tileRect/>
            </a:gradFill>
          </c:spPr>
          <c:invertIfNegative val="0"/>
          <c:cat>
            <c:strRef>
              <c:f>AMCAS!$U$3:$U$7</c:f>
              <c:strCache>
                <c:ptCount val="5"/>
                <c:pt idx="0">
                  <c:v>Highschool</c:v>
                </c:pt>
                <c:pt idx="1">
                  <c:v>Freshman</c:v>
                </c:pt>
                <c:pt idx="2">
                  <c:v>Sophomore</c:v>
                </c:pt>
                <c:pt idx="3">
                  <c:v>Junior</c:v>
                </c:pt>
                <c:pt idx="4">
                  <c:v>Senior</c:v>
                </c:pt>
              </c:strCache>
            </c:strRef>
          </c:cat>
          <c:val>
            <c:numRef>
              <c:f>AMCAS!$X$3:$X$7</c:f>
              <c:numCache>
                <c:formatCode>0.00</c:formatCode>
                <c:ptCount val="5"/>
                <c:pt idx="0">
                  <c:v>0.0</c:v>
                </c:pt>
                <c:pt idx="1">
                  <c:v>3.358718861209964</c:v>
                </c:pt>
                <c:pt idx="2">
                  <c:v>3.384768211920528</c:v>
                </c:pt>
                <c:pt idx="3">
                  <c:v>3.388888888888888</c:v>
                </c:pt>
                <c:pt idx="4">
                  <c:v>3.294202898550725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33956936"/>
        <c:axId val="-2135688008"/>
      </c:barChart>
      <c:catAx>
        <c:axId val="-2133956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135688008"/>
        <c:crosses val="autoZero"/>
        <c:auto val="1"/>
        <c:lblAlgn val="ctr"/>
        <c:lblOffset val="100"/>
        <c:noMultiLvlLbl val="0"/>
      </c:catAx>
      <c:valAx>
        <c:axId val="-2135688008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3956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 GPA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AMCAS!$R$1</c:f>
              <c:strCache>
                <c:ptCount val="1"/>
                <c:pt idx="0">
                  <c:v>cGPA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AMCAS!$M$2:$M$36</c:f>
              <c:numCache>
                <c:formatCode>General</c:formatCode>
                <c:ptCount val="35"/>
                <c:pt idx="0">
                  <c:v>2.7</c:v>
                </c:pt>
                <c:pt idx="1">
                  <c:v>5.4</c:v>
                </c:pt>
                <c:pt idx="2">
                  <c:v>8.100000000000001</c:v>
                </c:pt>
                <c:pt idx="3">
                  <c:v>10.1</c:v>
                </c:pt>
                <c:pt idx="4">
                  <c:v>12.1</c:v>
                </c:pt>
                <c:pt idx="5">
                  <c:v>15.1</c:v>
                </c:pt>
                <c:pt idx="6">
                  <c:v>19.1</c:v>
                </c:pt>
                <c:pt idx="7">
                  <c:v>22.1</c:v>
                </c:pt>
                <c:pt idx="8">
                  <c:v>25.1</c:v>
                </c:pt>
                <c:pt idx="9">
                  <c:v>28.1</c:v>
                </c:pt>
                <c:pt idx="10">
                  <c:v>31.1</c:v>
                </c:pt>
                <c:pt idx="11">
                  <c:v>32.1</c:v>
                </c:pt>
                <c:pt idx="12">
                  <c:v>35.1</c:v>
                </c:pt>
                <c:pt idx="13">
                  <c:v>38.1</c:v>
                </c:pt>
                <c:pt idx="14">
                  <c:v>42.1</c:v>
                </c:pt>
                <c:pt idx="15">
                  <c:v>45.1</c:v>
                </c:pt>
                <c:pt idx="16">
                  <c:v>48.4</c:v>
                </c:pt>
                <c:pt idx="17">
                  <c:v>51.7</c:v>
                </c:pt>
                <c:pt idx="18">
                  <c:v>55</c:v>
                </c:pt>
                <c:pt idx="19">
                  <c:v>58.3</c:v>
                </c:pt>
                <c:pt idx="20">
                  <c:v>61.59999999999998</c:v>
                </c:pt>
                <c:pt idx="21">
                  <c:v>64.9</c:v>
                </c:pt>
                <c:pt idx="22">
                  <c:v>68.19999999999998</c:v>
                </c:pt>
                <c:pt idx="23">
                  <c:v>71.49999999999998</c:v>
                </c:pt>
                <c:pt idx="24">
                  <c:v>74.79999999999998</c:v>
                </c:pt>
                <c:pt idx="25">
                  <c:v>78.09999999999998</c:v>
                </c:pt>
                <c:pt idx="26">
                  <c:v>81.39999999999997</c:v>
                </c:pt>
                <c:pt idx="27">
                  <c:v>84.69999999999997</c:v>
                </c:pt>
                <c:pt idx="28">
                  <c:v>87.99999999999997</c:v>
                </c:pt>
                <c:pt idx="29">
                  <c:v>91.29999999999996</c:v>
                </c:pt>
                <c:pt idx="30">
                  <c:v>94.59999999999996</c:v>
                </c:pt>
                <c:pt idx="31">
                  <c:v>97.89999999999996</c:v>
                </c:pt>
                <c:pt idx="32">
                  <c:v>100.6</c:v>
                </c:pt>
                <c:pt idx="33">
                  <c:v>103.3</c:v>
                </c:pt>
                <c:pt idx="34">
                  <c:v>106</c:v>
                </c:pt>
              </c:numCache>
            </c:numRef>
          </c:cat>
          <c:val>
            <c:numRef>
              <c:f>AMCAS!$R$2:$R$36</c:f>
              <c:numCache>
                <c:formatCode>0.00</c:formatCode>
                <c:ptCount val="35"/>
                <c:pt idx="0">
                  <c:v>3.700000000000001</c:v>
                </c:pt>
                <c:pt idx="1">
                  <c:v>3.35</c:v>
                </c:pt>
                <c:pt idx="2">
                  <c:v>3.466666666666667</c:v>
                </c:pt>
                <c:pt idx="3">
                  <c:v>3.374257425742574</c:v>
                </c:pt>
                <c:pt idx="4">
                  <c:v>3.428099173553719</c:v>
                </c:pt>
                <c:pt idx="5">
                  <c:v>3.343046357615894</c:v>
                </c:pt>
                <c:pt idx="6">
                  <c:v>3.417801047120418</c:v>
                </c:pt>
                <c:pt idx="7">
                  <c:v>3.361085972850679</c:v>
                </c:pt>
                <c:pt idx="8">
                  <c:v>3.401593625498008</c:v>
                </c:pt>
                <c:pt idx="9">
                  <c:v>3.358718861209964</c:v>
                </c:pt>
                <c:pt idx="10">
                  <c:v>3.391639871382636</c:v>
                </c:pt>
                <c:pt idx="11">
                  <c:v>3.379439252336448</c:v>
                </c:pt>
                <c:pt idx="12">
                  <c:v>3.406837606837606</c:v>
                </c:pt>
                <c:pt idx="13">
                  <c:v>3.374803149606298</c:v>
                </c:pt>
                <c:pt idx="14">
                  <c:v>3.405700712589073</c:v>
                </c:pt>
                <c:pt idx="15">
                  <c:v>3.378713968957871</c:v>
                </c:pt>
                <c:pt idx="16">
                  <c:v>3.400619834710744</c:v>
                </c:pt>
                <c:pt idx="17">
                  <c:v>3.37504835589942</c:v>
                </c:pt>
                <c:pt idx="18">
                  <c:v>3.394545454545455</c:v>
                </c:pt>
                <c:pt idx="19">
                  <c:v>3.372212692967411</c:v>
                </c:pt>
                <c:pt idx="20">
                  <c:v>3.389772727272728</c:v>
                </c:pt>
                <c:pt idx="21">
                  <c:v>3.369953775038522</c:v>
                </c:pt>
                <c:pt idx="22">
                  <c:v>3.38592375366569</c:v>
                </c:pt>
                <c:pt idx="23">
                  <c:v>3.36811188811189</c:v>
                </c:pt>
                <c:pt idx="24">
                  <c:v>3.382754010695188</c:v>
                </c:pt>
                <c:pt idx="25">
                  <c:v>3.366581306017927</c:v>
                </c:pt>
                <c:pt idx="26">
                  <c:v>3.380098280098282</c:v>
                </c:pt>
                <c:pt idx="27">
                  <c:v>3.365289256198348</c:v>
                </c:pt>
                <c:pt idx="28">
                  <c:v>3.37784090909091</c:v>
                </c:pt>
                <c:pt idx="29">
                  <c:v>3.364184008762322</c:v>
                </c:pt>
                <c:pt idx="30">
                  <c:v>3.375898520084567</c:v>
                </c:pt>
                <c:pt idx="31">
                  <c:v>3.363227783452503</c:v>
                </c:pt>
                <c:pt idx="32">
                  <c:v>3.372266401590458</c:v>
                </c:pt>
                <c:pt idx="33">
                  <c:v>3.362536302032914</c:v>
                </c:pt>
                <c:pt idx="34">
                  <c:v>3.371132075471699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4549544"/>
        <c:axId val="-2134541880"/>
      </c:lineChart>
      <c:catAx>
        <c:axId val="-2134549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34541880"/>
        <c:crosses val="autoZero"/>
        <c:auto val="1"/>
        <c:lblAlgn val="ctr"/>
        <c:lblOffset val="100"/>
        <c:noMultiLvlLbl val="0"/>
      </c:catAx>
      <c:valAx>
        <c:axId val="-2134541880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4549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 SGPA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AMCAS!$S$1</c:f>
              <c:strCache>
                <c:ptCount val="1"/>
                <c:pt idx="0">
                  <c:v>cSGPA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AMCAS!$Q$8:$Q$36</c:f>
              <c:numCache>
                <c:formatCode>0.00</c:formatCode>
                <c:ptCount val="29"/>
                <c:pt idx="0">
                  <c:v>4.0</c:v>
                </c:pt>
                <c:pt idx="1">
                  <c:v>4.0</c:v>
                </c:pt>
                <c:pt idx="2">
                  <c:v>4.0</c:v>
                </c:pt>
                <c:pt idx="3">
                  <c:v>4.0</c:v>
                </c:pt>
                <c:pt idx="4">
                  <c:v>4.0</c:v>
                </c:pt>
                <c:pt idx="5">
                  <c:v>4.0</c:v>
                </c:pt>
                <c:pt idx="6">
                  <c:v>4.0</c:v>
                </c:pt>
                <c:pt idx="7">
                  <c:v>4.0</c:v>
                </c:pt>
                <c:pt idx="8">
                  <c:v>8.0</c:v>
                </c:pt>
                <c:pt idx="9">
                  <c:v>8.0</c:v>
                </c:pt>
                <c:pt idx="10">
                  <c:v>8.0</c:v>
                </c:pt>
                <c:pt idx="11">
                  <c:v>11.3</c:v>
                </c:pt>
                <c:pt idx="12">
                  <c:v>11.3</c:v>
                </c:pt>
                <c:pt idx="13">
                  <c:v>11.3</c:v>
                </c:pt>
                <c:pt idx="14">
                  <c:v>14.6</c:v>
                </c:pt>
                <c:pt idx="15">
                  <c:v>17.9</c:v>
                </c:pt>
                <c:pt idx="16">
                  <c:v>21.2</c:v>
                </c:pt>
                <c:pt idx="17">
                  <c:v>21.2</c:v>
                </c:pt>
                <c:pt idx="18">
                  <c:v>24.5</c:v>
                </c:pt>
                <c:pt idx="19">
                  <c:v>24.5</c:v>
                </c:pt>
                <c:pt idx="20">
                  <c:v>27.8</c:v>
                </c:pt>
                <c:pt idx="21">
                  <c:v>27.8</c:v>
                </c:pt>
                <c:pt idx="22">
                  <c:v>31.1</c:v>
                </c:pt>
                <c:pt idx="23">
                  <c:v>34.40000000000001</c:v>
                </c:pt>
                <c:pt idx="24">
                  <c:v>37.7</c:v>
                </c:pt>
                <c:pt idx="25">
                  <c:v>41.0</c:v>
                </c:pt>
                <c:pt idx="26">
                  <c:v>43.7</c:v>
                </c:pt>
                <c:pt idx="27">
                  <c:v>46.40000000000001</c:v>
                </c:pt>
                <c:pt idx="28">
                  <c:v>49.10000000000001</c:v>
                </c:pt>
              </c:numCache>
            </c:numRef>
          </c:cat>
          <c:val>
            <c:numRef>
              <c:f>AMCAS!$S$8:$S$36</c:f>
              <c:numCache>
                <c:formatCode>0.00</c:formatCode>
                <c:ptCount val="29"/>
                <c:pt idx="0">
                  <c:v>3.7</c:v>
                </c:pt>
                <c:pt idx="1">
                  <c:v>3.7</c:v>
                </c:pt>
                <c:pt idx="2">
                  <c:v>3.7</c:v>
                </c:pt>
                <c:pt idx="3">
                  <c:v>3.7</c:v>
                </c:pt>
                <c:pt idx="4">
                  <c:v>3.7</c:v>
                </c:pt>
                <c:pt idx="5">
                  <c:v>3.7</c:v>
                </c:pt>
                <c:pt idx="6">
                  <c:v>3.7</c:v>
                </c:pt>
                <c:pt idx="7">
                  <c:v>3.7</c:v>
                </c:pt>
                <c:pt idx="8">
                  <c:v>3.7</c:v>
                </c:pt>
                <c:pt idx="9">
                  <c:v>3.7</c:v>
                </c:pt>
                <c:pt idx="10">
                  <c:v>3.7</c:v>
                </c:pt>
                <c:pt idx="11">
                  <c:v>3.495575221238938</c:v>
                </c:pt>
                <c:pt idx="12">
                  <c:v>3.495575221238938</c:v>
                </c:pt>
                <c:pt idx="13">
                  <c:v>3.495575221238938</c:v>
                </c:pt>
                <c:pt idx="14">
                  <c:v>3.541780821917808</c:v>
                </c:pt>
                <c:pt idx="15">
                  <c:v>3.441899441340781</c:v>
                </c:pt>
                <c:pt idx="16">
                  <c:v>3.482075471698113</c:v>
                </c:pt>
                <c:pt idx="17">
                  <c:v>3.482075471698113</c:v>
                </c:pt>
                <c:pt idx="18">
                  <c:v>3.51142857142857</c:v>
                </c:pt>
                <c:pt idx="19">
                  <c:v>3.51142857142857</c:v>
                </c:pt>
                <c:pt idx="20">
                  <c:v>3.533812949640287</c:v>
                </c:pt>
                <c:pt idx="21">
                  <c:v>3.533812949640287</c:v>
                </c:pt>
                <c:pt idx="22">
                  <c:v>3.551446945337619</c:v>
                </c:pt>
                <c:pt idx="23">
                  <c:v>3.498546511627905</c:v>
                </c:pt>
                <c:pt idx="24">
                  <c:v>3.516180371352784</c:v>
                </c:pt>
                <c:pt idx="25">
                  <c:v>3.474634146341463</c:v>
                </c:pt>
                <c:pt idx="26">
                  <c:v>3.488558352402745</c:v>
                </c:pt>
                <c:pt idx="27">
                  <c:v>3.460129310344827</c:v>
                </c:pt>
                <c:pt idx="28">
                  <c:v>3.473319755600814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4495960"/>
        <c:axId val="-2134485352"/>
      </c:lineChart>
      <c:catAx>
        <c:axId val="-2134495960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-2134485352"/>
        <c:crosses val="autoZero"/>
        <c:auto val="1"/>
        <c:lblAlgn val="ctr"/>
        <c:lblOffset val="100"/>
        <c:noMultiLvlLbl val="0"/>
      </c:catAx>
      <c:valAx>
        <c:axId val="-2134485352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44959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Year Delineated sGPA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flip="none" rotWithShape="1">
              <a:gsLst>
                <a:gs pos="48000">
                  <a:srgbClr val="FF0000"/>
                </a:gs>
                <a:gs pos="100000">
                  <a:srgbClr val="FFFF00"/>
                </a:gs>
              </a:gsLst>
              <a:lin ang="16200000" scaled="0"/>
              <a:tileRect/>
            </a:gradFill>
          </c:spPr>
          <c:invertIfNegative val="0"/>
          <c:cat>
            <c:strRef>
              <c:f>AACOMAS!$V$10:$V$14</c:f>
              <c:strCache>
                <c:ptCount val="5"/>
                <c:pt idx="0">
                  <c:v>Highschool</c:v>
                </c:pt>
                <c:pt idx="1">
                  <c:v>Freshman</c:v>
                </c:pt>
                <c:pt idx="2">
                  <c:v>Sophomore</c:v>
                </c:pt>
                <c:pt idx="3">
                  <c:v>Junior</c:v>
                </c:pt>
                <c:pt idx="4">
                  <c:v>Senior</c:v>
                </c:pt>
              </c:strCache>
            </c:strRef>
          </c:cat>
          <c:val>
            <c:numRef>
              <c:f>AACOMAS!$Y$10:$Y$14</c:f>
              <c:numCache>
                <c:formatCode>0.00</c:formatCode>
                <c:ptCount val="5"/>
                <c:pt idx="0">
                  <c:v>0.0</c:v>
                </c:pt>
                <c:pt idx="1">
                  <c:v>3.7</c:v>
                </c:pt>
                <c:pt idx="2">
                  <c:v>3.35</c:v>
                </c:pt>
                <c:pt idx="3">
                  <c:v>3.419999999999999</c:v>
                </c:pt>
                <c:pt idx="4">
                  <c:v>3.525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35722184"/>
        <c:axId val="-2135741352"/>
      </c:barChart>
      <c:catAx>
        <c:axId val="-21357221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135741352"/>
        <c:crosses val="autoZero"/>
        <c:auto val="1"/>
        <c:lblAlgn val="ctr"/>
        <c:lblOffset val="100"/>
        <c:noMultiLvlLbl val="0"/>
      </c:catAx>
      <c:valAx>
        <c:axId val="-2135741352"/>
        <c:scaling>
          <c:orientation val="minMax"/>
          <c:max val="4.0"/>
          <c:min val="0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5722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Year Delineated GPA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GPA</c:v>
          </c:tx>
          <c:spPr>
            <a:gradFill flip="none" rotWithShape="1">
              <a:gsLst>
                <a:gs pos="51000">
                  <a:srgbClr val="FF0000"/>
                </a:gs>
                <a:gs pos="100000">
                  <a:srgbClr val="FFFF00"/>
                </a:gs>
              </a:gsLst>
              <a:lin ang="16200000" scaled="0"/>
              <a:tileRect/>
            </a:gradFill>
          </c:spPr>
          <c:invertIfNegative val="0"/>
          <c:cat>
            <c:strRef>
              <c:f>AACOMAS!$V$3:$V$7</c:f>
              <c:strCache>
                <c:ptCount val="5"/>
                <c:pt idx="0">
                  <c:v>Highschool</c:v>
                </c:pt>
                <c:pt idx="1">
                  <c:v>Freshman</c:v>
                </c:pt>
                <c:pt idx="2">
                  <c:v>Sophomore</c:v>
                </c:pt>
                <c:pt idx="3">
                  <c:v>Junior</c:v>
                </c:pt>
                <c:pt idx="4">
                  <c:v>Senior</c:v>
                </c:pt>
              </c:strCache>
            </c:strRef>
          </c:cat>
          <c:val>
            <c:numRef>
              <c:f>AACOMAS!$Y$3:$Y$7</c:f>
              <c:numCache>
                <c:formatCode>0.00</c:formatCode>
                <c:ptCount val="5"/>
                <c:pt idx="0">
                  <c:v>0.0</c:v>
                </c:pt>
                <c:pt idx="1">
                  <c:v>3.377104377104377</c:v>
                </c:pt>
                <c:pt idx="2">
                  <c:v>3.465084745762711</c:v>
                </c:pt>
                <c:pt idx="3">
                  <c:v>3.466666666666665</c:v>
                </c:pt>
                <c:pt idx="4">
                  <c:v>3.525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2135825944"/>
        <c:axId val="-2135843160"/>
      </c:barChart>
      <c:catAx>
        <c:axId val="-2135825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2135843160"/>
        <c:crosses val="autoZero"/>
        <c:auto val="1"/>
        <c:lblAlgn val="ctr"/>
        <c:lblOffset val="100"/>
        <c:noMultiLvlLbl val="0"/>
      </c:catAx>
      <c:valAx>
        <c:axId val="-2135843160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5825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 GPA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AACOMAS!$S$1</c:f>
              <c:strCache>
                <c:ptCount val="1"/>
                <c:pt idx="0">
                  <c:v>cGPA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AACOMAS!$N$2:$N$36</c:f>
              <c:numCache>
                <c:formatCode>General</c:formatCode>
                <c:ptCount val="35"/>
                <c:pt idx="0">
                  <c:v>0.0</c:v>
                </c:pt>
                <c:pt idx="1">
                  <c:v>2.7</c:v>
                </c:pt>
                <c:pt idx="2">
                  <c:v>2.7</c:v>
                </c:pt>
                <c:pt idx="3">
                  <c:v>4.7</c:v>
                </c:pt>
                <c:pt idx="4">
                  <c:v>6.7</c:v>
                </c:pt>
                <c:pt idx="5">
                  <c:v>9.7</c:v>
                </c:pt>
                <c:pt idx="6">
                  <c:v>13.7</c:v>
                </c:pt>
                <c:pt idx="7">
                  <c:v>16.7</c:v>
                </c:pt>
                <c:pt idx="8">
                  <c:v>16.7</c:v>
                </c:pt>
                <c:pt idx="9">
                  <c:v>19.7</c:v>
                </c:pt>
                <c:pt idx="10">
                  <c:v>22.7</c:v>
                </c:pt>
                <c:pt idx="11">
                  <c:v>23.7</c:v>
                </c:pt>
                <c:pt idx="12">
                  <c:v>26.7</c:v>
                </c:pt>
                <c:pt idx="13">
                  <c:v>29.7</c:v>
                </c:pt>
                <c:pt idx="14">
                  <c:v>33.7</c:v>
                </c:pt>
                <c:pt idx="15">
                  <c:v>36.7</c:v>
                </c:pt>
                <c:pt idx="16">
                  <c:v>40.0</c:v>
                </c:pt>
                <c:pt idx="17">
                  <c:v>42.7</c:v>
                </c:pt>
                <c:pt idx="18">
                  <c:v>46.0</c:v>
                </c:pt>
                <c:pt idx="19">
                  <c:v>49.3</c:v>
                </c:pt>
                <c:pt idx="20">
                  <c:v>52.6</c:v>
                </c:pt>
                <c:pt idx="21">
                  <c:v>55.9</c:v>
                </c:pt>
                <c:pt idx="22">
                  <c:v>59.19999999999998</c:v>
                </c:pt>
                <c:pt idx="23">
                  <c:v>62.49999999999998</c:v>
                </c:pt>
                <c:pt idx="24">
                  <c:v>65.79999999999998</c:v>
                </c:pt>
                <c:pt idx="25">
                  <c:v>69.09999999999998</c:v>
                </c:pt>
                <c:pt idx="26">
                  <c:v>72.39999999999997</c:v>
                </c:pt>
                <c:pt idx="27">
                  <c:v>75.69999999999997</c:v>
                </c:pt>
                <c:pt idx="28">
                  <c:v>78.99999999999997</c:v>
                </c:pt>
                <c:pt idx="29">
                  <c:v>82.29999999999996</c:v>
                </c:pt>
                <c:pt idx="30">
                  <c:v>85.59999999999996</c:v>
                </c:pt>
                <c:pt idx="31">
                  <c:v>88.89999999999996</c:v>
                </c:pt>
                <c:pt idx="32">
                  <c:v>91.59999999999996</c:v>
                </c:pt>
                <c:pt idx="33">
                  <c:v>94.29999999999996</c:v>
                </c:pt>
                <c:pt idx="34">
                  <c:v>96.99999999999997</c:v>
                </c:pt>
              </c:numCache>
            </c:numRef>
          </c:cat>
          <c:val>
            <c:numRef>
              <c:f>AACOMAS!$S$2:$S$36</c:f>
              <c:numCache>
                <c:formatCode>0.00</c:formatCode>
                <c:ptCount val="35"/>
                <c:pt idx="0">
                  <c:v>0.0</c:v>
                </c:pt>
                <c:pt idx="1">
                  <c:v>3.0</c:v>
                </c:pt>
                <c:pt idx="2">
                  <c:v>3.0</c:v>
                </c:pt>
                <c:pt idx="3">
                  <c:v>3.297872340425532</c:v>
                </c:pt>
                <c:pt idx="4">
                  <c:v>3.208955223880597</c:v>
                </c:pt>
                <c:pt idx="5">
                  <c:v>3.360824742268042</c:v>
                </c:pt>
                <c:pt idx="6">
                  <c:v>3.459854014598541</c:v>
                </c:pt>
                <c:pt idx="7">
                  <c:v>3.377245508982036</c:v>
                </c:pt>
                <c:pt idx="8">
                  <c:v>3.377245508982036</c:v>
                </c:pt>
                <c:pt idx="9">
                  <c:v>3.426395939086294</c:v>
                </c:pt>
                <c:pt idx="10">
                  <c:v>3.370044052863436</c:v>
                </c:pt>
                <c:pt idx="11">
                  <c:v>3.383966244725739</c:v>
                </c:pt>
                <c:pt idx="12">
                  <c:v>3.419475655430712</c:v>
                </c:pt>
                <c:pt idx="13">
                  <c:v>3.377104377104377</c:v>
                </c:pt>
                <c:pt idx="14">
                  <c:v>3.415430267062314</c:v>
                </c:pt>
                <c:pt idx="15">
                  <c:v>3.438692098092643</c:v>
                </c:pt>
                <c:pt idx="16">
                  <c:v>3.402500000000001</c:v>
                </c:pt>
                <c:pt idx="17">
                  <c:v>3.421311475409837</c:v>
                </c:pt>
                <c:pt idx="18">
                  <c:v>3.441304347826087</c:v>
                </c:pt>
                <c:pt idx="19">
                  <c:v>3.411764705882354</c:v>
                </c:pt>
                <c:pt idx="20">
                  <c:v>3.429847908745248</c:v>
                </c:pt>
                <c:pt idx="21">
                  <c:v>3.445796064400717</c:v>
                </c:pt>
                <c:pt idx="22">
                  <c:v>3.420945945945948</c:v>
                </c:pt>
                <c:pt idx="23">
                  <c:v>3.435680000000002</c:v>
                </c:pt>
                <c:pt idx="24">
                  <c:v>3.448936170212768</c:v>
                </c:pt>
                <c:pt idx="25">
                  <c:v>3.427496382054995</c:v>
                </c:pt>
                <c:pt idx="26">
                  <c:v>3.439917127071825</c:v>
                </c:pt>
                <c:pt idx="27">
                  <c:v>3.451254953764864</c:v>
                </c:pt>
                <c:pt idx="28">
                  <c:v>3.432405063291141</c:v>
                </c:pt>
                <c:pt idx="29">
                  <c:v>3.443134872417985</c:v>
                </c:pt>
                <c:pt idx="30">
                  <c:v>3.453037383177572</c:v>
                </c:pt>
                <c:pt idx="31">
                  <c:v>3.436220472440946</c:v>
                </c:pt>
                <c:pt idx="32">
                  <c:v>3.443995633187774</c:v>
                </c:pt>
                <c:pt idx="33">
                  <c:v>3.45132555673383</c:v>
                </c:pt>
                <c:pt idx="34">
                  <c:v>3.43876288659794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35909864"/>
        <c:axId val="-2135914152"/>
      </c:lineChart>
      <c:catAx>
        <c:axId val="-2135909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2135914152"/>
        <c:crosses val="autoZero"/>
        <c:auto val="1"/>
        <c:lblAlgn val="ctr"/>
        <c:lblOffset val="100"/>
        <c:noMultiLvlLbl val="0"/>
      </c:catAx>
      <c:valAx>
        <c:axId val="-2135914152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359098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 SGPA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AACOMAS!$T$1</c:f>
              <c:strCache>
                <c:ptCount val="1"/>
                <c:pt idx="0">
                  <c:v>cSGPA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pPr>
              <a:solidFill>
                <a:srgbClr val="FFFF00"/>
              </a:solidFill>
              <a:ln>
                <a:solidFill>
                  <a:srgbClr val="FF0000"/>
                </a:solidFill>
              </a:ln>
            </c:spPr>
          </c:marker>
          <c:cat>
            <c:numRef>
              <c:f>AACOMAS!$R$8:$R$36</c:f>
              <c:numCache>
                <c:formatCode>0.00</c:formatCode>
                <c:ptCount val="2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1.0</c:v>
                </c:pt>
                <c:pt idx="6">
                  <c:v>1.0</c:v>
                </c:pt>
                <c:pt idx="7">
                  <c:v>1.0</c:v>
                </c:pt>
                <c:pt idx="8">
                  <c:v>1.0</c:v>
                </c:pt>
                <c:pt idx="9">
                  <c:v>1.0</c:v>
                </c:pt>
                <c:pt idx="10">
                  <c:v>4.3</c:v>
                </c:pt>
                <c:pt idx="11">
                  <c:v>4.3</c:v>
                </c:pt>
                <c:pt idx="12">
                  <c:v>4.3</c:v>
                </c:pt>
                <c:pt idx="13">
                  <c:v>7.6</c:v>
                </c:pt>
                <c:pt idx="14">
                  <c:v>10.9</c:v>
                </c:pt>
                <c:pt idx="15">
                  <c:v>14.2</c:v>
                </c:pt>
                <c:pt idx="16">
                  <c:v>14.2</c:v>
                </c:pt>
                <c:pt idx="17">
                  <c:v>14.2</c:v>
                </c:pt>
                <c:pt idx="18">
                  <c:v>17.5</c:v>
                </c:pt>
                <c:pt idx="19">
                  <c:v>17.5</c:v>
                </c:pt>
                <c:pt idx="20">
                  <c:v>20.8</c:v>
                </c:pt>
                <c:pt idx="21">
                  <c:v>20.8</c:v>
                </c:pt>
                <c:pt idx="22">
                  <c:v>24.1</c:v>
                </c:pt>
                <c:pt idx="23">
                  <c:v>27.4</c:v>
                </c:pt>
                <c:pt idx="24">
                  <c:v>27.4</c:v>
                </c:pt>
                <c:pt idx="25">
                  <c:v>30.7</c:v>
                </c:pt>
                <c:pt idx="26">
                  <c:v>33.40000000000001</c:v>
                </c:pt>
                <c:pt idx="27">
                  <c:v>36.10000000000001</c:v>
                </c:pt>
                <c:pt idx="28">
                  <c:v>38.80000000000001</c:v>
                </c:pt>
              </c:numCache>
            </c:numRef>
          </c:cat>
          <c:val>
            <c:numRef>
              <c:f>AACOMAS!$T$8:$T$36</c:f>
              <c:numCache>
                <c:formatCode>0.00</c:formatCode>
                <c:ptCount val="2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3.7</c:v>
                </c:pt>
                <c:pt idx="6">
                  <c:v>3.7</c:v>
                </c:pt>
                <c:pt idx="7">
                  <c:v>3.7</c:v>
                </c:pt>
                <c:pt idx="8">
                  <c:v>3.7</c:v>
                </c:pt>
                <c:pt idx="9">
                  <c:v>3.7</c:v>
                </c:pt>
                <c:pt idx="10">
                  <c:v>3.162790697674418</c:v>
                </c:pt>
                <c:pt idx="11">
                  <c:v>3.162790697674418</c:v>
                </c:pt>
                <c:pt idx="12">
                  <c:v>3.162790697674418</c:v>
                </c:pt>
                <c:pt idx="13">
                  <c:v>3.092105263157894</c:v>
                </c:pt>
                <c:pt idx="14">
                  <c:v>3.276146788990825</c:v>
                </c:pt>
                <c:pt idx="15">
                  <c:v>3.374647887323944</c:v>
                </c:pt>
                <c:pt idx="16">
                  <c:v>3.374647887323944</c:v>
                </c:pt>
                <c:pt idx="17">
                  <c:v>3.374647887323944</c:v>
                </c:pt>
                <c:pt idx="18">
                  <c:v>3.436</c:v>
                </c:pt>
                <c:pt idx="19">
                  <c:v>3.436</c:v>
                </c:pt>
                <c:pt idx="20">
                  <c:v>3.477884615384615</c:v>
                </c:pt>
                <c:pt idx="21">
                  <c:v>3.477884615384615</c:v>
                </c:pt>
                <c:pt idx="22">
                  <c:v>3.412448132780082</c:v>
                </c:pt>
                <c:pt idx="23">
                  <c:v>3.447080291970802</c:v>
                </c:pt>
                <c:pt idx="24">
                  <c:v>3.447080291970802</c:v>
                </c:pt>
                <c:pt idx="25">
                  <c:v>3.39902280130293</c:v>
                </c:pt>
                <c:pt idx="26">
                  <c:v>3.423353293413172</c:v>
                </c:pt>
                <c:pt idx="27">
                  <c:v>3.444044321329639</c:v>
                </c:pt>
                <c:pt idx="28">
                  <c:v>3.413144329896906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129359144"/>
        <c:axId val="-2129353960"/>
      </c:lineChart>
      <c:catAx>
        <c:axId val="-2129359144"/>
        <c:scaling>
          <c:orientation val="minMax"/>
        </c:scaling>
        <c:delete val="0"/>
        <c:axPos val="b"/>
        <c:numFmt formatCode="0.00" sourceLinked="1"/>
        <c:majorTickMark val="out"/>
        <c:minorTickMark val="none"/>
        <c:tickLblPos val="nextTo"/>
        <c:crossAx val="-2129353960"/>
        <c:crosses val="autoZero"/>
        <c:auto val="1"/>
        <c:lblAlgn val="ctr"/>
        <c:lblOffset val="100"/>
        <c:noMultiLvlLbl val="0"/>
      </c:catAx>
      <c:valAx>
        <c:axId val="-2129353960"/>
        <c:scaling>
          <c:orientation val="minMax"/>
          <c:max val="4.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21293591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4" Type="http://schemas.openxmlformats.org/officeDocument/2006/relationships/chart" Target="../charts/chart8.xml"/><Relationship Id="rId1" Type="http://schemas.openxmlformats.org/officeDocument/2006/relationships/chart" Target="../charts/chart5.xml"/><Relationship Id="rId2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787400</xdr:colOff>
      <xdr:row>2</xdr:row>
      <xdr:rowOff>88900</xdr:rowOff>
    </xdr:from>
    <xdr:to>
      <xdr:col>14</xdr:col>
      <xdr:colOff>419100</xdr:colOff>
      <xdr:row>10</xdr:row>
      <xdr:rowOff>152400</xdr:rowOff>
    </xdr:to>
    <xdr:sp macro="" textlink="">
      <xdr:nvSpPr>
        <xdr:cNvPr id="2" name="TextBox 1"/>
        <xdr:cNvSpPr txBox="1"/>
      </xdr:nvSpPr>
      <xdr:spPr>
        <a:xfrm>
          <a:off x="787400" y="469900"/>
          <a:ext cx="11188700" cy="158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Instructions:</a:t>
          </a:r>
        </a:p>
        <a:p>
          <a:endParaRPr lang="en-US" sz="1100"/>
        </a:p>
        <a:p>
          <a:r>
            <a:rPr lang="en-US" sz="1100"/>
            <a:t>1) Enter information into all columns with green</a:t>
          </a:r>
          <a:r>
            <a:rPr lang="en-US" sz="1100" baseline="0"/>
            <a:t> header</a:t>
          </a:r>
        </a:p>
        <a:p>
          <a:r>
            <a:rPr lang="en-US" sz="1100" baseline="0"/>
            <a:t>2) Column F is only used for people who's school gives out numberical grades and just as a reference.  You will still have to convert to letter grade and enter that into column G</a:t>
          </a:r>
        </a:p>
        <a:p>
          <a:r>
            <a:rPr lang="en-US" sz="1100" baseline="0"/>
            <a:t>3) Columns with red headers shouldn't be touched, they are forumla based cells.</a:t>
          </a:r>
        </a:p>
        <a:p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63500</xdr:colOff>
      <xdr:row>48</xdr:row>
      <xdr:rowOff>69850</xdr:rowOff>
    </xdr:from>
    <xdr:to>
      <xdr:col>26</xdr:col>
      <xdr:colOff>25400</xdr:colOff>
      <xdr:row>71</xdr:row>
      <xdr:rowOff>381000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20</xdr:col>
      <xdr:colOff>63500</xdr:colOff>
      <xdr:row>23</xdr:row>
      <xdr:rowOff>57150</xdr:rowOff>
    </xdr:from>
    <xdr:to>
      <xdr:col>26</xdr:col>
      <xdr:colOff>12700</xdr:colOff>
      <xdr:row>47</xdr:row>
      <xdr:rowOff>127000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26</xdr:col>
      <xdr:colOff>158750</xdr:colOff>
      <xdr:row>23</xdr:row>
      <xdr:rowOff>19050</xdr:rowOff>
    </xdr:from>
    <xdr:to>
      <xdr:col>34</xdr:col>
      <xdr:colOff>215900</xdr:colOff>
      <xdr:row>47</xdr:row>
      <xdr:rowOff>139700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177800</xdr:colOff>
      <xdr:row>48</xdr:row>
      <xdr:rowOff>88900</xdr:rowOff>
    </xdr:from>
    <xdr:to>
      <xdr:col>34</xdr:col>
      <xdr:colOff>685800</xdr:colOff>
      <xdr:row>71</xdr:row>
      <xdr:rowOff>419100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63500</xdr:colOff>
      <xdr:row>48</xdr:row>
      <xdr:rowOff>69850</xdr:rowOff>
    </xdr:from>
    <xdr:to>
      <xdr:col>27</xdr:col>
      <xdr:colOff>25400</xdr:colOff>
      <xdr:row>71</xdr:row>
      <xdr:rowOff>381000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63500</xdr:colOff>
      <xdr:row>23</xdr:row>
      <xdr:rowOff>57150</xdr:rowOff>
    </xdr:from>
    <xdr:to>
      <xdr:col>27</xdr:col>
      <xdr:colOff>12700</xdr:colOff>
      <xdr:row>47</xdr:row>
      <xdr:rowOff>127000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158750</xdr:colOff>
      <xdr:row>23</xdr:row>
      <xdr:rowOff>19050</xdr:rowOff>
    </xdr:from>
    <xdr:to>
      <xdr:col>35</xdr:col>
      <xdr:colOff>215900</xdr:colOff>
      <xdr:row>47</xdr:row>
      <xdr:rowOff>139700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27</xdr:col>
      <xdr:colOff>177800</xdr:colOff>
      <xdr:row>48</xdr:row>
      <xdr:rowOff>88900</xdr:rowOff>
    </xdr:from>
    <xdr:to>
      <xdr:col>35</xdr:col>
      <xdr:colOff>685800</xdr:colOff>
      <xdr:row>71</xdr:row>
      <xdr:rowOff>419100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8" sqref="F8"/>
    </sheetView>
  </sheetViews>
  <sheetFormatPr baseColWidth="10" defaultRowHeight="15" x14ac:dyDescent="0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Z91"/>
  <sheetViews>
    <sheetView tabSelected="1" workbookViewId="0">
      <selection activeCell="H37" sqref="H37:H52"/>
    </sheetView>
  </sheetViews>
  <sheetFormatPr baseColWidth="10" defaultRowHeight="15" x14ac:dyDescent="0"/>
  <cols>
    <col min="3" max="3" width="12.6640625" customWidth="1"/>
    <col min="5" max="5" width="12.83203125" customWidth="1"/>
    <col min="6" max="6" width="13.1640625" customWidth="1"/>
    <col min="7" max="7" width="14.5" customWidth="1"/>
    <col min="8" max="8" width="19.33203125" customWidth="1"/>
    <col min="12" max="12" width="10.83203125" customWidth="1"/>
    <col min="13" max="13" width="12.6640625" customWidth="1"/>
    <col min="14" max="14" width="9.83203125" style="44" customWidth="1"/>
    <col min="15" max="16" width="12.6640625" style="44" customWidth="1"/>
    <col min="17" max="17" width="10.83203125" customWidth="1"/>
    <col min="18" max="19" width="10.83203125" style="44"/>
    <col min="21" max="21" width="16.5" customWidth="1"/>
    <col min="24" max="24" width="17.83203125" customWidth="1"/>
    <col min="26" max="26" width="15.1640625" customWidth="1"/>
  </cols>
  <sheetData>
    <row r="1" spans="1:26" ht="16" thickBot="1">
      <c r="A1" s="53" t="s">
        <v>0</v>
      </c>
      <c r="B1" s="53" t="s">
        <v>1</v>
      </c>
      <c r="C1" s="53" t="s">
        <v>10</v>
      </c>
      <c r="D1" s="53" t="s">
        <v>2</v>
      </c>
      <c r="E1" s="50" t="s">
        <v>3</v>
      </c>
      <c r="F1" s="52" t="s">
        <v>4</v>
      </c>
      <c r="G1" s="53" t="s">
        <v>5</v>
      </c>
      <c r="H1" s="50" t="s">
        <v>6</v>
      </c>
      <c r="I1" s="53" t="s">
        <v>7</v>
      </c>
      <c r="J1" s="53" t="s">
        <v>32</v>
      </c>
      <c r="K1" s="50" t="s">
        <v>73</v>
      </c>
      <c r="L1" s="50" t="s">
        <v>74</v>
      </c>
      <c r="M1" s="50" t="s">
        <v>75</v>
      </c>
      <c r="N1" s="51" t="s">
        <v>66</v>
      </c>
      <c r="O1" s="51" t="s">
        <v>67</v>
      </c>
      <c r="P1" s="51" t="s">
        <v>71</v>
      </c>
      <c r="Q1" s="50" t="s">
        <v>70</v>
      </c>
      <c r="R1" s="51" t="s">
        <v>59</v>
      </c>
      <c r="S1" s="51" t="s">
        <v>60</v>
      </c>
      <c r="T1" s="6"/>
      <c r="Y1" s="14"/>
      <c r="Z1" s="14"/>
    </row>
    <row r="2" spans="1:26">
      <c r="A2" t="s">
        <v>8</v>
      </c>
      <c r="B2" s="54" t="str">
        <f>IF(M2&gt;=91,"Senior",IF(M2&gt;=61,"Junior",IF(M2&gt;=31,"Sophomore",IF(M2&gt;=0,"Freshman","Error"))))</f>
        <v>Freshman</v>
      </c>
      <c r="C2" t="s">
        <v>79</v>
      </c>
      <c r="D2">
        <v>4</v>
      </c>
      <c r="E2">
        <f>IF(J2=TRUE, IF(D2="", 0, VLOOKUP(D2,$D$73:$E$91,2)), D2)</f>
        <v>2.7</v>
      </c>
      <c r="G2" t="s">
        <v>19</v>
      </c>
      <c r="H2">
        <f>IF(G2="", 0, VLOOKUP(G2,$A$73:$B$87,2))</f>
        <v>3.7</v>
      </c>
      <c r="J2" t="b">
        <v>1</v>
      </c>
      <c r="K2">
        <f>H2*E2</f>
        <v>9.990000000000002</v>
      </c>
      <c r="L2">
        <f>SUM($K$2:$K2)</f>
        <v>9.990000000000002</v>
      </c>
      <c r="M2">
        <f>SUM($E$2:$E2)</f>
        <v>2.7</v>
      </c>
      <c r="N2" s="44">
        <f>IF(I2="x",K2,0)</f>
        <v>0</v>
      </c>
      <c r="O2" s="44">
        <f>SUM($N$2:$N2)</f>
        <v>0</v>
      </c>
      <c r="P2" s="44">
        <f>IF(I2="x",E2,)</f>
        <v>0</v>
      </c>
      <c r="Q2" s="44">
        <f>SUM($P$2:$P2)</f>
        <v>0</v>
      </c>
      <c r="R2" s="44">
        <f>L2/M2</f>
        <v>3.7000000000000006</v>
      </c>
      <c r="S2" s="44" t="e">
        <f>O2/Q2</f>
        <v>#DIV/0!</v>
      </c>
      <c r="U2" s="7" t="s">
        <v>65</v>
      </c>
      <c r="V2" s="45" t="s">
        <v>40</v>
      </c>
      <c r="W2" s="45" t="s">
        <v>41</v>
      </c>
      <c r="X2" s="46" t="s">
        <v>38</v>
      </c>
      <c r="Y2" s="15"/>
      <c r="Z2" s="14"/>
    </row>
    <row r="3" spans="1:26">
      <c r="A3" t="s">
        <v>8</v>
      </c>
      <c r="B3" s="54" t="str">
        <f t="shared" ref="B3:B52" si="0">IF(M3&gt;=91,"Senior",IF(M3&gt;=61,"Junior",IF(M3&gt;=31,"Sophomore",IF(M3&gt;=0,"Freshman","Error"))))</f>
        <v>Freshman</v>
      </c>
      <c r="C3" t="s">
        <v>80</v>
      </c>
      <c r="D3">
        <v>4</v>
      </c>
      <c r="E3">
        <f t="shared" ref="E3:E52" si="1">IF(J3=TRUE, IF(D3="", 0, VLOOKUP(D3,$D$73:$E$91,2)), D3)</f>
        <v>2.7</v>
      </c>
      <c r="G3" t="s">
        <v>15</v>
      </c>
      <c r="H3">
        <f t="shared" ref="H3:H52" si="2">IF(G3="", 0, VLOOKUP(G3,$A$73:$B$87,2))</f>
        <v>3</v>
      </c>
      <c r="J3" t="b">
        <v>1</v>
      </c>
      <c r="K3">
        <f t="shared" ref="K3:K36" si="3">H3*E3</f>
        <v>8.1000000000000014</v>
      </c>
      <c r="L3">
        <f>SUM($K$2:$K3)</f>
        <v>18.090000000000003</v>
      </c>
      <c r="M3">
        <f>SUM($E$2:$E3)</f>
        <v>5.4</v>
      </c>
      <c r="N3" s="44">
        <f t="shared" ref="N3:N36" si="4">IF(I3="x",K3,0)</f>
        <v>0</v>
      </c>
      <c r="O3" s="44">
        <f>SUM($N$2:$N3)</f>
        <v>0</v>
      </c>
      <c r="P3" s="44">
        <f t="shared" ref="P3:P36" si="5">IF(I3="x",E3,)</f>
        <v>0</v>
      </c>
      <c r="Q3" s="44">
        <f>SUM($P$2:$P3)</f>
        <v>0</v>
      </c>
      <c r="R3" s="44">
        <f t="shared" ref="R3:R36" si="6">L3/M3</f>
        <v>3.3500000000000005</v>
      </c>
      <c r="S3" s="44" t="e">
        <f t="shared" ref="S3:S36" si="7">O3/Q3</f>
        <v>#DIV/0!</v>
      </c>
      <c r="U3" s="12" t="s">
        <v>9</v>
      </c>
      <c r="V3" s="8">
        <f>SUMIF(B2:B53,"Highschool",K2:K53)</f>
        <v>0</v>
      </c>
      <c r="W3" s="8">
        <f>SUMIF(B2:B53,"Highschool",E2:E53)</f>
        <v>0</v>
      </c>
      <c r="X3" s="16">
        <f>V3/IF(V3=0,1,W3)</f>
        <v>0</v>
      </c>
      <c r="Y3" s="15"/>
    </row>
    <row r="4" spans="1:26">
      <c r="A4" t="s">
        <v>8</v>
      </c>
      <c r="B4" s="54" t="str">
        <f t="shared" si="0"/>
        <v>Freshman</v>
      </c>
      <c r="C4" t="s">
        <v>81</v>
      </c>
      <c r="D4">
        <v>4</v>
      </c>
      <c r="E4">
        <f t="shared" si="1"/>
        <v>2.7</v>
      </c>
      <c r="G4" t="s">
        <v>19</v>
      </c>
      <c r="H4">
        <f t="shared" si="2"/>
        <v>3.7</v>
      </c>
      <c r="J4" t="b">
        <v>1</v>
      </c>
      <c r="K4">
        <f t="shared" si="3"/>
        <v>9.990000000000002</v>
      </c>
      <c r="L4">
        <f>SUM($K$2:$K4)</f>
        <v>28.080000000000005</v>
      </c>
      <c r="M4">
        <f>SUM($E$2:$E4)</f>
        <v>8.1000000000000014</v>
      </c>
      <c r="N4" s="44">
        <f t="shared" si="4"/>
        <v>0</v>
      </c>
      <c r="O4" s="44">
        <f>SUM($N$2:$N4)</f>
        <v>0</v>
      </c>
      <c r="P4" s="44">
        <f t="shared" si="5"/>
        <v>0</v>
      </c>
      <c r="Q4" s="44">
        <f>SUM($P$2:$P4)</f>
        <v>0</v>
      </c>
      <c r="R4" s="44">
        <f t="shared" si="6"/>
        <v>3.4666666666666668</v>
      </c>
      <c r="S4" s="44" t="e">
        <f t="shared" si="7"/>
        <v>#DIV/0!</v>
      </c>
      <c r="U4" s="12" t="s">
        <v>34</v>
      </c>
      <c r="V4" s="8">
        <f>SUMIF(B2:B53,"Freshman",K2:K53)</f>
        <v>94.38</v>
      </c>
      <c r="W4" s="8">
        <f>SUMIF(B2:B53,"Freshman",E2:E53)</f>
        <v>28.1</v>
      </c>
      <c r="X4" s="16">
        <f t="shared" ref="X4:X6" si="8">V4/IF(V4=0,1,W4)</f>
        <v>3.3587188612099639</v>
      </c>
      <c r="Y4" s="15"/>
    </row>
    <row r="5" spans="1:26">
      <c r="A5" t="s">
        <v>8</v>
      </c>
      <c r="B5" s="54" t="str">
        <f t="shared" si="0"/>
        <v>Freshman</v>
      </c>
      <c r="C5" t="s">
        <v>82</v>
      </c>
      <c r="D5">
        <v>3</v>
      </c>
      <c r="E5">
        <f t="shared" si="1"/>
        <v>2</v>
      </c>
      <c r="G5" t="s">
        <v>15</v>
      </c>
      <c r="H5">
        <f t="shared" si="2"/>
        <v>3</v>
      </c>
      <c r="J5" t="b">
        <v>1</v>
      </c>
      <c r="K5">
        <f t="shared" si="3"/>
        <v>6</v>
      </c>
      <c r="L5">
        <f>SUM($K$2:$K5)</f>
        <v>34.080000000000005</v>
      </c>
      <c r="M5">
        <f>SUM($E$2:$E5)</f>
        <v>10.100000000000001</v>
      </c>
      <c r="N5" s="44">
        <f t="shared" si="4"/>
        <v>0</v>
      </c>
      <c r="O5" s="44">
        <f>SUM($N$2:$N5)</f>
        <v>0</v>
      </c>
      <c r="P5" s="44">
        <f t="shared" si="5"/>
        <v>0</v>
      </c>
      <c r="Q5" s="44">
        <f>SUM($P$2:$P5)</f>
        <v>0</v>
      </c>
      <c r="R5" s="44">
        <f t="shared" si="6"/>
        <v>3.3742574257425741</v>
      </c>
      <c r="S5" s="44" t="e">
        <f t="shared" si="7"/>
        <v>#DIV/0!</v>
      </c>
      <c r="U5" s="12" t="s">
        <v>35</v>
      </c>
      <c r="V5" s="8">
        <f>SUMIF(B2:B53,"Sophomore",K2:K53)</f>
        <v>102.21999999999997</v>
      </c>
      <c r="W5" s="8">
        <f>SUMIF(B2:B53,"Sophomore",E2:E53)</f>
        <v>30.200000000000003</v>
      </c>
      <c r="X5" s="16">
        <f t="shared" si="8"/>
        <v>3.3847682119205285</v>
      </c>
      <c r="Y5" s="15"/>
    </row>
    <row r="6" spans="1:26">
      <c r="A6" t="s">
        <v>8</v>
      </c>
      <c r="B6" s="54" t="str">
        <f t="shared" si="0"/>
        <v>Freshman</v>
      </c>
      <c r="C6" t="s">
        <v>83</v>
      </c>
      <c r="D6">
        <v>3</v>
      </c>
      <c r="E6">
        <f t="shared" si="1"/>
        <v>2</v>
      </c>
      <c r="G6" t="s">
        <v>19</v>
      </c>
      <c r="H6">
        <f t="shared" si="2"/>
        <v>3.7</v>
      </c>
      <c r="J6" t="b">
        <v>1</v>
      </c>
      <c r="K6">
        <f t="shared" si="3"/>
        <v>7.4</v>
      </c>
      <c r="L6">
        <f>SUM($K$2:$K6)</f>
        <v>41.480000000000004</v>
      </c>
      <c r="M6">
        <f>SUM($E$2:$E6)</f>
        <v>12.100000000000001</v>
      </c>
      <c r="N6" s="44">
        <f t="shared" si="4"/>
        <v>0</v>
      </c>
      <c r="O6" s="44">
        <f>SUM($N$2:$N6)</f>
        <v>0</v>
      </c>
      <c r="P6" s="44">
        <f t="shared" si="5"/>
        <v>0</v>
      </c>
      <c r="Q6" s="44">
        <f>SUM($P$2:$P6)</f>
        <v>0</v>
      </c>
      <c r="R6" s="44">
        <f t="shared" si="6"/>
        <v>3.428099173553719</v>
      </c>
      <c r="S6" s="44" t="e">
        <f t="shared" si="7"/>
        <v>#DIV/0!</v>
      </c>
      <c r="U6" s="12" t="s">
        <v>36</v>
      </c>
      <c r="V6" s="8">
        <f>SUMIF(B2:B53,"Junior",K2:K53)</f>
        <v>100.64999999999999</v>
      </c>
      <c r="W6" s="8">
        <f>SUMIF(B2:B53,"Junior",E2:E53)</f>
        <v>29.700000000000003</v>
      </c>
      <c r="X6" s="16">
        <f t="shared" si="8"/>
        <v>3.3888888888888884</v>
      </c>
      <c r="Y6" s="15"/>
    </row>
    <row r="7" spans="1:26" ht="16" thickBot="1">
      <c r="A7" t="s">
        <v>13</v>
      </c>
      <c r="B7" s="54" t="str">
        <f t="shared" si="0"/>
        <v>Freshman</v>
      </c>
      <c r="C7" t="s">
        <v>84</v>
      </c>
      <c r="D7">
        <v>3</v>
      </c>
      <c r="E7">
        <f t="shared" si="1"/>
        <v>3</v>
      </c>
      <c r="G7" t="s">
        <v>15</v>
      </c>
      <c r="H7">
        <f t="shared" si="2"/>
        <v>3</v>
      </c>
      <c r="J7" t="b">
        <v>0</v>
      </c>
      <c r="K7">
        <f t="shared" si="3"/>
        <v>9</v>
      </c>
      <c r="L7">
        <f>SUM($K$2:$K7)</f>
        <v>50.480000000000004</v>
      </c>
      <c r="M7">
        <f>SUM($E$2:$E7)</f>
        <v>15.100000000000001</v>
      </c>
      <c r="N7" s="44">
        <f t="shared" si="4"/>
        <v>0</v>
      </c>
      <c r="O7" s="44">
        <f>SUM($N$2:$N7)</f>
        <v>0</v>
      </c>
      <c r="P7" s="44">
        <f t="shared" si="5"/>
        <v>0</v>
      </c>
      <c r="Q7" s="44">
        <f>SUM($P$2:$P7)</f>
        <v>0</v>
      </c>
      <c r="R7" s="44">
        <f t="shared" si="6"/>
        <v>3.343046357615894</v>
      </c>
      <c r="S7" s="44" t="e">
        <f t="shared" si="7"/>
        <v>#DIV/0!</v>
      </c>
      <c r="U7" s="13" t="s">
        <v>37</v>
      </c>
      <c r="V7" s="9">
        <f>IF(D37="","",SUMIF(B2:B53,"Senior",K2:K53))</f>
        <v>68.19</v>
      </c>
      <c r="W7" s="9">
        <f>IF(D37="","",SUMIF(B2:B53,"Senior",E2:E53))</f>
        <v>20.699999999999996</v>
      </c>
      <c r="X7" s="17">
        <f>IF(D37="",#N/A,V7/IF(V7=0,1,W7))</f>
        <v>3.2942028985507252</v>
      </c>
    </row>
    <row r="8" spans="1:26" ht="16" thickBot="1">
      <c r="A8" t="s">
        <v>13</v>
      </c>
      <c r="B8" s="54" t="str">
        <f t="shared" si="0"/>
        <v>Freshman</v>
      </c>
      <c r="C8" t="s">
        <v>85</v>
      </c>
      <c r="D8">
        <v>4</v>
      </c>
      <c r="E8">
        <f t="shared" si="1"/>
        <v>4</v>
      </c>
      <c r="G8" t="s">
        <v>19</v>
      </c>
      <c r="H8">
        <f t="shared" si="2"/>
        <v>3.7</v>
      </c>
      <c r="I8" t="s">
        <v>33</v>
      </c>
      <c r="J8" t="b">
        <v>0</v>
      </c>
      <c r="K8">
        <f t="shared" si="3"/>
        <v>14.8</v>
      </c>
      <c r="L8">
        <f>SUM($K$2:$K8)</f>
        <v>65.28</v>
      </c>
      <c r="M8">
        <f>SUM($E$2:$E8)</f>
        <v>19.100000000000001</v>
      </c>
      <c r="N8" s="44">
        <f t="shared" si="4"/>
        <v>14.8</v>
      </c>
      <c r="O8" s="44">
        <f>SUM($N$2:$N8)</f>
        <v>14.8</v>
      </c>
      <c r="P8" s="44">
        <f t="shared" si="5"/>
        <v>4</v>
      </c>
      <c r="Q8" s="44">
        <f>SUM($P$2:$P8)</f>
        <v>4</v>
      </c>
      <c r="R8" s="44">
        <f t="shared" si="6"/>
        <v>3.4178010471204185</v>
      </c>
      <c r="S8" s="44">
        <f t="shared" si="7"/>
        <v>3.7</v>
      </c>
    </row>
    <row r="9" spans="1:26">
      <c r="A9" t="s">
        <v>13</v>
      </c>
      <c r="B9" s="54" t="str">
        <f t="shared" si="0"/>
        <v>Freshman</v>
      </c>
      <c r="C9" t="s">
        <v>86</v>
      </c>
      <c r="D9">
        <v>3</v>
      </c>
      <c r="E9">
        <f t="shared" si="1"/>
        <v>3</v>
      </c>
      <c r="G9" t="s">
        <v>15</v>
      </c>
      <c r="H9">
        <f t="shared" si="2"/>
        <v>3</v>
      </c>
      <c r="J9" t="b">
        <v>0</v>
      </c>
      <c r="K9">
        <f t="shared" si="3"/>
        <v>9</v>
      </c>
      <c r="L9">
        <f>SUM($K$2:$K9)</f>
        <v>74.28</v>
      </c>
      <c r="M9">
        <f>SUM($E$2:$E9)</f>
        <v>22.1</v>
      </c>
      <c r="N9" s="44">
        <f t="shared" si="4"/>
        <v>0</v>
      </c>
      <c r="O9" s="44">
        <f>SUM($N$2:$N9)</f>
        <v>14.8</v>
      </c>
      <c r="P9" s="44">
        <f t="shared" si="5"/>
        <v>0</v>
      </c>
      <c r="Q9" s="44">
        <f>SUM($P$2:$P9)</f>
        <v>4</v>
      </c>
      <c r="R9" s="44">
        <f t="shared" si="6"/>
        <v>3.3610859728506788</v>
      </c>
      <c r="S9" s="44">
        <f t="shared" si="7"/>
        <v>3.7</v>
      </c>
      <c r="U9" s="22" t="s">
        <v>72</v>
      </c>
      <c r="V9" s="47" t="s">
        <v>40</v>
      </c>
      <c r="W9" s="47" t="s">
        <v>41</v>
      </c>
      <c r="X9" s="48" t="s">
        <v>39</v>
      </c>
    </row>
    <row r="10" spans="1:26">
      <c r="A10" t="s">
        <v>13</v>
      </c>
      <c r="B10" s="54" t="str">
        <f t="shared" si="0"/>
        <v>Freshman</v>
      </c>
      <c r="C10" t="s">
        <v>87</v>
      </c>
      <c r="D10">
        <v>3</v>
      </c>
      <c r="E10">
        <f t="shared" si="1"/>
        <v>3</v>
      </c>
      <c r="G10" t="s">
        <v>19</v>
      </c>
      <c r="H10">
        <f t="shared" si="2"/>
        <v>3.7</v>
      </c>
      <c r="J10" t="b">
        <v>0</v>
      </c>
      <c r="K10">
        <f t="shared" si="3"/>
        <v>11.100000000000001</v>
      </c>
      <c r="L10">
        <f>SUM($K$2:$K10)</f>
        <v>85.38</v>
      </c>
      <c r="M10">
        <f>SUM($E$2:$E10)</f>
        <v>25.1</v>
      </c>
      <c r="N10" s="44">
        <f t="shared" si="4"/>
        <v>0</v>
      </c>
      <c r="O10" s="44">
        <f>SUM($N$2:$N10)</f>
        <v>14.8</v>
      </c>
      <c r="P10" s="44">
        <f t="shared" si="5"/>
        <v>0</v>
      </c>
      <c r="Q10" s="44">
        <f>SUM($P$2:$P10)</f>
        <v>4</v>
      </c>
      <c r="R10" s="44">
        <f t="shared" si="6"/>
        <v>3.4015936254980077</v>
      </c>
      <c r="S10" s="44">
        <f t="shared" si="7"/>
        <v>3.7</v>
      </c>
      <c r="U10" s="25" t="s">
        <v>9</v>
      </c>
      <c r="V10" s="26">
        <f>SUMIFS(K2:K53,B2:B53,"Highschool",I2:I53,"x")</f>
        <v>0</v>
      </c>
      <c r="W10" s="26">
        <f>SUMIFS(E2:E53,B2:B53,"Highschool",I2:I53,"x")</f>
        <v>0</v>
      </c>
      <c r="X10" s="27">
        <f>V10/IF(V10=0,1,W10)</f>
        <v>0</v>
      </c>
    </row>
    <row r="11" spans="1:26">
      <c r="A11" t="s">
        <v>13</v>
      </c>
      <c r="B11" s="54" t="str">
        <f t="shared" si="0"/>
        <v>Freshman</v>
      </c>
      <c r="C11" t="s">
        <v>88</v>
      </c>
      <c r="D11">
        <v>3</v>
      </c>
      <c r="E11">
        <f t="shared" si="1"/>
        <v>3</v>
      </c>
      <c r="G11" t="s">
        <v>15</v>
      </c>
      <c r="H11">
        <f t="shared" si="2"/>
        <v>3</v>
      </c>
      <c r="J11" t="b">
        <v>0</v>
      </c>
      <c r="K11">
        <f t="shared" si="3"/>
        <v>9</v>
      </c>
      <c r="L11">
        <f>SUM($K$2:$K11)</f>
        <v>94.38</v>
      </c>
      <c r="M11">
        <f>SUM($E$2:$E11)</f>
        <v>28.1</v>
      </c>
      <c r="N11" s="44">
        <f t="shared" si="4"/>
        <v>0</v>
      </c>
      <c r="O11" s="44">
        <f>SUM($N$2:$N11)</f>
        <v>14.8</v>
      </c>
      <c r="P11" s="44">
        <f t="shared" si="5"/>
        <v>0</v>
      </c>
      <c r="Q11" s="44">
        <f>SUM($P$2:$P11)</f>
        <v>4</v>
      </c>
      <c r="R11" s="44">
        <f t="shared" si="6"/>
        <v>3.3587188612099639</v>
      </c>
      <c r="S11" s="44">
        <f t="shared" si="7"/>
        <v>3.7</v>
      </c>
      <c r="U11" s="25" t="s">
        <v>34</v>
      </c>
      <c r="V11" s="26">
        <f>SUMIFS(K2:K53,B2:B53,"Freshman",I2:I53,"x")</f>
        <v>14.8</v>
      </c>
      <c r="W11" s="26">
        <f>SUMIFS(E2:E53,B2:B53,"Freshman",I2:I53,"x")</f>
        <v>4</v>
      </c>
      <c r="X11" s="27">
        <f t="shared" ref="X11:X13" si="9">V11/IF(V11=0,1,W11)</f>
        <v>3.7</v>
      </c>
    </row>
    <row r="12" spans="1:26">
      <c r="A12" t="s">
        <v>13</v>
      </c>
      <c r="B12" s="54" t="str">
        <f t="shared" si="0"/>
        <v>Sophomore</v>
      </c>
      <c r="C12" t="s">
        <v>89</v>
      </c>
      <c r="D12">
        <v>3</v>
      </c>
      <c r="E12">
        <f t="shared" si="1"/>
        <v>3</v>
      </c>
      <c r="G12" t="s">
        <v>19</v>
      </c>
      <c r="H12">
        <f t="shared" si="2"/>
        <v>3.7</v>
      </c>
      <c r="J12" t="b">
        <v>0</v>
      </c>
      <c r="K12">
        <f t="shared" si="3"/>
        <v>11.100000000000001</v>
      </c>
      <c r="L12">
        <f>SUM($K$2:$K12)</f>
        <v>105.47999999999999</v>
      </c>
      <c r="M12">
        <f>SUM($E$2:$E12)</f>
        <v>31.1</v>
      </c>
      <c r="N12" s="44">
        <f t="shared" si="4"/>
        <v>0</v>
      </c>
      <c r="O12" s="44">
        <f>SUM($N$2:$N12)</f>
        <v>14.8</v>
      </c>
      <c r="P12" s="44">
        <f t="shared" si="5"/>
        <v>0</v>
      </c>
      <c r="Q12" s="44">
        <f>SUM($P$2:$P12)</f>
        <v>4</v>
      </c>
      <c r="R12" s="44">
        <f t="shared" si="6"/>
        <v>3.3916398713826363</v>
      </c>
      <c r="S12" s="44">
        <f t="shared" si="7"/>
        <v>3.7</v>
      </c>
      <c r="U12" s="25" t="s">
        <v>35</v>
      </c>
      <c r="V12" s="26">
        <f>SUMIFS(K2:K53,B2:B53,"Sophomore",I2:I53,"x")</f>
        <v>24.7</v>
      </c>
      <c r="W12" s="26">
        <f>SUMIFS(E2:E53,B2:B53,"Sophomore",I2:I53,"x")</f>
        <v>7.3</v>
      </c>
      <c r="X12" s="27">
        <f t="shared" si="9"/>
        <v>3.3835616438356166</v>
      </c>
    </row>
    <row r="13" spans="1:26">
      <c r="A13" t="s">
        <v>13</v>
      </c>
      <c r="B13" s="54" t="str">
        <f t="shared" si="0"/>
        <v>Sophomore</v>
      </c>
      <c r="C13" t="s">
        <v>90</v>
      </c>
      <c r="D13">
        <v>1</v>
      </c>
      <c r="E13">
        <f t="shared" si="1"/>
        <v>1</v>
      </c>
      <c r="G13" t="s">
        <v>15</v>
      </c>
      <c r="H13">
        <f t="shared" si="2"/>
        <v>3</v>
      </c>
      <c r="J13" t="b">
        <v>0</v>
      </c>
      <c r="K13">
        <f t="shared" si="3"/>
        <v>3</v>
      </c>
      <c r="L13">
        <f>SUM($K$2:$K13)</f>
        <v>108.47999999999999</v>
      </c>
      <c r="M13">
        <f>SUM($E$2:$E13)</f>
        <v>32.1</v>
      </c>
      <c r="N13" s="44">
        <f t="shared" si="4"/>
        <v>0</v>
      </c>
      <c r="O13" s="44">
        <f>SUM($N$2:$N13)</f>
        <v>14.8</v>
      </c>
      <c r="P13" s="44">
        <f t="shared" si="5"/>
        <v>0</v>
      </c>
      <c r="Q13" s="44">
        <f>SUM($P$2:$P13)</f>
        <v>4</v>
      </c>
      <c r="R13" s="44">
        <f t="shared" si="6"/>
        <v>3.3794392523364483</v>
      </c>
      <c r="S13" s="44">
        <f t="shared" si="7"/>
        <v>3.7</v>
      </c>
      <c r="U13" s="25" t="s">
        <v>36</v>
      </c>
      <c r="V13" s="26">
        <f>SUMIFS(K2:K53,B2:B53,"Junior",I2:I53,"x")</f>
        <v>70.95</v>
      </c>
      <c r="W13" s="26">
        <f>SUMIFS(E2:E53,B2:B53,"Junior",I2:I53,"x")</f>
        <v>19.8</v>
      </c>
      <c r="X13" s="27">
        <f t="shared" si="9"/>
        <v>3.5833333333333335</v>
      </c>
    </row>
    <row r="14" spans="1:26" ht="16" thickBot="1">
      <c r="A14" t="s">
        <v>13</v>
      </c>
      <c r="B14" s="54" t="str">
        <f t="shared" si="0"/>
        <v>Sophomore</v>
      </c>
      <c r="C14" t="s">
        <v>91</v>
      </c>
      <c r="D14">
        <v>3</v>
      </c>
      <c r="E14">
        <f t="shared" si="1"/>
        <v>3</v>
      </c>
      <c r="G14" t="s">
        <v>19</v>
      </c>
      <c r="H14">
        <f t="shared" si="2"/>
        <v>3.7</v>
      </c>
      <c r="J14" t="b">
        <v>0</v>
      </c>
      <c r="K14">
        <f t="shared" si="3"/>
        <v>11.100000000000001</v>
      </c>
      <c r="L14">
        <f>SUM($K$2:$K14)</f>
        <v>119.57999999999998</v>
      </c>
      <c r="M14">
        <f>SUM($E$2:$E14)</f>
        <v>35.1</v>
      </c>
      <c r="N14" s="44">
        <f t="shared" si="4"/>
        <v>0</v>
      </c>
      <c r="O14" s="44">
        <f>SUM($N$2:$N14)</f>
        <v>14.8</v>
      </c>
      <c r="P14" s="44">
        <f t="shared" si="5"/>
        <v>0</v>
      </c>
      <c r="Q14" s="44">
        <f>SUM($P$2:$P14)</f>
        <v>4</v>
      </c>
      <c r="R14" s="44">
        <f t="shared" si="6"/>
        <v>3.4068376068376063</v>
      </c>
      <c r="S14" s="44">
        <f t="shared" si="7"/>
        <v>3.7</v>
      </c>
      <c r="U14" s="28" t="s">
        <v>37</v>
      </c>
      <c r="V14" s="29">
        <f>IF(D37="","",SUMIFS(K2:K53,B2:B53,"Senior",I2:I53,"x"))</f>
        <v>68.19</v>
      </c>
      <c r="W14" s="29">
        <f>IF(D37="","",SUMIFS(E2:E53,B2:B53,"Senior",I2:I53,"x"))</f>
        <v>20.699999999999996</v>
      </c>
      <c r="X14" s="30">
        <f>IF(D37="",#N/A,V14/IF(V14=0,1,W14))</f>
        <v>3.2942028985507252</v>
      </c>
    </row>
    <row r="15" spans="1:26" ht="16" thickBot="1">
      <c r="A15" t="s">
        <v>13</v>
      </c>
      <c r="B15" s="54" t="str">
        <f t="shared" si="0"/>
        <v>Sophomore</v>
      </c>
      <c r="C15" t="s">
        <v>92</v>
      </c>
      <c r="D15">
        <v>3</v>
      </c>
      <c r="E15">
        <f t="shared" si="1"/>
        <v>3</v>
      </c>
      <c r="G15" t="s">
        <v>15</v>
      </c>
      <c r="H15">
        <f t="shared" si="2"/>
        <v>3</v>
      </c>
      <c r="J15" t="b">
        <v>0</v>
      </c>
      <c r="K15">
        <f t="shared" si="3"/>
        <v>9</v>
      </c>
      <c r="L15">
        <f>SUM($K$2:$K15)</f>
        <v>128.57999999999998</v>
      </c>
      <c r="M15">
        <f>SUM($E$2:$E15)</f>
        <v>38.1</v>
      </c>
      <c r="N15" s="44">
        <f t="shared" si="4"/>
        <v>0</v>
      </c>
      <c r="O15" s="44">
        <f>SUM($N$2:$N15)</f>
        <v>14.8</v>
      </c>
      <c r="P15" s="44">
        <f t="shared" si="5"/>
        <v>0</v>
      </c>
      <c r="Q15" s="44">
        <f>SUM($P$2:$P15)</f>
        <v>4</v>
      </c>
      <c r="R15" s="44">
        <f t="shared" si="6"/>
        <v>3.3748031496062985</v>
      </c>
      <c r="S15" s="44">
        <f t="shared" si="7"/>
        <v>3.7</v>
      </c>
    </row>
    <row r="16" spans="1:26">
      <c r="A16" t="s">
        <v>13</v>
      </c>
      <c r="B16" s="54" t="str">
        <f t="shared" si="0"/>
        <v>Sophomore</v>
      </c>
      <c r="C16" t="s">
        <v>93</v>
      </c>
      <c r="D16">
        <v>4</v>
      </c>
      <c r="E16">
        <f t="shared" si="1"/>
        <v>4</v>
      </c>
      <c r="G16" t="s">
        <v>19</v>
      </c>
      <c r="H16">
        <f t="shared" si="2"/>
        <v>3.7</v>
      </c>
      <c r="I16" t="s">
        <v>33</v>
      </c>
      <c r="J16" t="b">
        <v>0</v>
      </c>
      <c r="K16">
        <f t="shared" si="3"/>
        <v>14.8</v>
      </c>
      <c r="L16">
        <f>SUM($K$2:$K16)</f>
        <v>143.38</v>
      </c>
      <c r="M16">
        <f>SUM($E$2:$E16)</f>
        <v>42.1</v>
      </c>
      <c r="N16" s="44">
        <f t="shared" si="4"/>
        <v>14.8</v>
      </c>
      <c r="O16" s="44">
        <f>SUM($N$2:$N16)</f>
        <v>29.6</v>
      </c>
      <c r="P16" s="44">
        <f t="shared" si="5"/>
        <v>4</v>
      </c>
      <c r="Q16" s="44">
        <f>SUM($P$2:$P16)</f>
        <v>8</v>
      </c>
      <c r="R16" s="44">
        <f t="shared" si="6"/>
        <v>3.4057007125890735</v>
      </c>
      <c r="S16" s="44">
        <f t="shared" si="7"/>
        <v>3.7</v>
      </c>
      <c r="U16" s="18" t="s">
        <v>78</v>
      </c>
      <c r="V16" s="19">
        <f>SUM(K2:K53)/SUM(E2:E53)</f>
        <v>3.3619135234590622</v>
      </c>
    </row>
    <row r="17" spans="1:25" ht="16" thickBot="1">
      <c r="A17" t="s">
        <v>13</v>
      </c>
      <c r="B17" s="54" t="str">
        <f t="shared" si="0"/>
        <v>Sophomore</v>
      </c>
      <c r="C17" t="s">
        <v>94</v>
      </c>
      <c r="D17">
        <v>3</v>
      </c>
      <c r="E17">
        <f t="shared" si="1"/>
        <v>3</v>
      </c>
      <c r="G17" t="s">
        <v>15</v>
      </c>
      <c r="H17">
        <f t="shared" si="2"/>
        <v>3</v>
      </c>
      <c r="J17" t="b">
        <v>0</v>
      </c>
      <c r="K17">
        <f t="shared" si="3"/>
        <v>9</v>
      </c>
      <c r="L17">
        <f>SUM($K$2:$K17)</f>
        <v>152.38</v>
      </c>
      <c r="M17">
        <f>SUM($E$2:$E17)</f>
        <v>45.1</v>
      </c>
      <c r="N17" s="44">
        <f t="shared" si="4"/>
        <v>0</v>
      </c>
      <c r="O17" s="44">
        <f>SUM($N$2:$N17)</f>
        <v>29.6</v>
      </c>
      <c r="P17" s="44">
        <f t="shared" si="5"/>
        <v>0</v>
      </c>
      <c r="Q17" s="44">
        <f>SUM($P$2:$P17)</f>
        <v>8</v>
      </c>
      <c r="R17" s="44">
        <f t="shared" si="6"/>
        <v>3.3787139689578711</v>
      </c>
      <c r="S17" s="44">
        <f t="shared" si="7"/>
        <v>3.7</v>
      </c>
      <c r="U17" s="20" t="s">
        <v>77</v>
      </c>
      <c r="V17" s="21">
        <f>SUMIF(I2:I53,"x",K2:K53)/SUMIF(I2:I53,"x",E2:E53)</f>
        <v>3.4486486486486476</v>
      </c>
    </row>
    <row r="18" spans="1:25" ht="16" thickBot="1">
      <c r="A18" t="s">
        <v>17</v>
      </c>
      <c r="B18" s="54" t="str">
        <f t="shared" si="0"/>
        <v>Sophomore</v>
      </c>
      <c r="C18" t="s">
        <v>95</v>
      </c>
      <c r="D18">
        <v>5</v>
      </c>
      <c r="E18">
        <f t="shared" si="1"/>
        <v>3.3</v>
      </c>
      <c r="F18">
        <v>3.9</v>
      </c>
      <c r="G18" t="s">
        <v>19</v>
      </c>
      <c r="H18">
        <f t="shared" si="2"/>
        <v>3.7</v>
      </c>
      <c r="J18" t="b">
        <v>1</v>
      </c>
      <c r="K18">
        <f t="shared" si="3"/>
        <v>12.209999999999999</v>
      </c>
      <c r="L18">
        <f>SUM($K$2:$K18)</f>
        <v>164.59</v>
      </c>
      <c r="M18">
        <f>SUM($E$2:$E18)</f>
        <v>48.4</v>
      </c>
      <c r="N18" s="44">
        <f t="shared" si="4"/>
        <v>0</v>
      </c>
      <c r="O18" s="44">
        <f>SUM($N$2:$N18)</f>
        <v>29.6</v>
      </c>
      <c r="P18" s="44">
        <f t="shared" si="5"/>
        <v>0</v>
      </c>
      <c r="Q18" s="44">
        <f>SUM($P$2:$P18)</f>
        <v>8</v>
      </c>
      <c r="R18" s="44">
        <f t="shared" si="6"/>
        <v>3.4006198347107439</v>
      </c>
      <c r="S18" s="44">
        <f t="shared" si="7"/>
        <v>3.7</v>
      </c>
    </row>
    <row r="19" spans="1:25">
      <c r="A19" t="s">
        <v>17</v>
      </c>
      <c r="B19" s="54" t="str">
        <f t="shared" si="0"/>
        <v>Sophomore</v>
      </c>
      <c r="C19" t="s">
        <v>96</v>
      </c>
      <c r="D19">
        <v>5</v>
      </c>
      <c r="E19">
        <f t="shared" si="1"/>
        <v>3.3</v>
      </c>
      <c r="F19">
        <v>0</v>
      </c>
      <c r="G19" t="s">
        <v>15</v>
      </c>
      <c r="H19">
        <f t="shared" si="2"/>
        <v>3</v>
      </c>
      <c r="I19" t="s">
        <v>33</v>
      </c>
      <c r="J19" t="b">
        <v>1</v>
      </c>
      <c r="K19">
        <f t="shared" si="3"/>
        <v>9.8999999999999986</v>
      </c>
      <c r="L19">
        <f>SUM($K$2:$K19)</f>
        <v>174.49</v>
      </c>
      <c r="M19">
        <f>SUM($E$2:$E19)</f>
        <v>51.699999999999996</v>
      </c>
      <c r="N19" s="44">
        <f t="shared" si="4"/>
        <v>9.8999999999999986</v>
      </c>
      <c r="O19" s="44">
        <f>SUM($N$2:$N19)</f>
        <v>39.5</v>
      </c>
      <c r="P19" s="44">
        <f t="shared" si="5"/>
        <v>3.3</v>
      </c>
      <c r="Q19" s="44">
        <f>SUM($P$2:$P19)</f>
        <v>11.3</v>
      </c>
      <c r="R19" s="44">
        <f t="shared" si="6"/>
        <v>3.3750483558994202</v>
      </c>
      <c r="S19" s="44">
        <f t="shared" si="7"/>
        <v>3.4955752212389379</v>
      </c>
      <c r="U19" s="31" t="s">
        <v>42</v>
      </c>
      <c r="V19" s="32">
        <f>SUM(K2:K16)/SUM(E2:E16)</f>
        <v>3.4057007125890735</v>
      </c>
      <c r="X19" s="38" t="s">
        <v>64</v>
      </c>
      <c r="Y19" s="41">
        <f>SUMIF(I2:I16,"x",K2:K16)/SUMIF(I2:I16,"x",E2:E16)</f>
        <v>3.7</v>
      </c>
    </row>
    <row r="20" spans="1:25">
      <c r="A20" t="s">
        <v>17</v>
      </c>
      <c r="B20" s="54" t="str">
        <f t="shared" si="0"/>
        <v>Sophomore</v>
      </c>
      <c r="C20" t="s">
        <v>97</v>
      </c>
      <c r="D20">
        <v>5</v>
      </c>
      <c r="E20">
        <f t="shared" si="1"/>
        <v>3.3</v>
      </c>
      <c r="F20">
        <v>2.9</v>
      </c>
      <c r="G20" t="s">
        <v>19</v>
      </c>
      <c r="H20">
        <f t="shared" si="2"/>
        <v>3.7</v>
      </c>
      <c r="J20" t="b">
        <v>1</v>
      </c>
      <c r="K20">
        <f t="shared" si="3"/>
        <v>12.209999999999999</v>
      </c>
      <c r="L20">
        <f>SUM($K$2:$K20)</f>
        <v>186.70000000000002</v>
      </c>
      <c r="M20">
        <f>SUM($E$2:$E20)</f>
        <v>54.999999999999993</v>
      </c>
      <c r="N20" s="44">
        <f t="shared" si="4"/>
        <v>0</v>
      </c>
      <c r="O20" s="44">
        <f>SUM($N$2:$N20)</f>
        <v>39.5</v>
      </c>
      <c r="P20" s="44">
        <f t="shared" si="5"/>
        <v>0</v>
      </c>
      <c r="Q20" s="44">
        <f>SUM($P$2:$P20)</f>
        <v>11.3</v>
      </c>
      <c r="R20" s="44">
        <f t="shared" si="6"/>
        <v>3.3945454545454554</v>
      </c>
      <c r="S20" s="44">
        <f t="shared" si="7"/>
        <v>3.4955752212389379</v>
      </c>
      <c r="U20" s="33" t="s">
        <v>43</v>
      </c>
      <c r="V20" s="34">
        <f>SUM(K2:K26)/SUM(E2:E26)</f>
        <v>3.3827540106951886</v>
      </c>
      <c r="X20" s="39" t="s">
        <v>61</v>
      </c>
      <c r="Y20" s="42">
        <f>SUMIF(I2:I26,"x",K2:K26)/SUMIF(I2:I26,"x",E2:E26)</f>
        <v>3.5114285714285702</v>
      </c>
    </row>
    <row r="21" spans="1:25">
      <c r="A21" t="s">
        <v>17</v>
      </c>
      <c r="B21" s="54" t="str">
        <f t="shared" si="0"/>
        <v>Sophomore</v>
      </c>
      <c r="C21" t="s">
        <v>98</v>
      </c>
      <c r="D21">
        <v>5</v>
      </c>
      <c r="E21">
        <f t="shared" si="1"/>
        <v>3.3</v>
      </c>
      <c r="F21">
        <v>4</v>
      </c>
      <c r="G21" t="s">
        <v>15</v>
      </c>
      <c r="H21">
        <f t="shared" si="2"/>
        <v>3</v>
      </c>
      <c r="J21" t="b">
        <v>1</v>
      </c>
      <c r="K21">
        <f t="shared" si="3"/>
        <v>9.8999999999999986</v>
      </c>
      <c r="L21">
        <f>SUM($K$2:$K21)</f>
        <v>196.60000000000002</v>
      </c>
      <c r="M21">
        <f>SUM($E$2:$E21)</f>
        <v>58.29999999999999</v>
      </c>
      <c r="N21" s="44">
        <f t="shared" si="4"/>
        <v>0</v>
      </c>
      <c r="O21" s="44">
        <f>SUM($N$2:$N21)</f>
        <v>39.5</v>
      </c>
      <c r="P21" s="44">
        <f t="shared" si="5"/>
        <v>0</v>
      </c>
      <c r="Q21" s="44">
        <f>SUM($P$2:$P21)</f>
        <v>11.3</v>
      </c>
      <c r="R21" s="44">
        <f t="shared" si="6"/>
        <v>3.3722126929674108</v>
      </c>
      <c r="S21" s="44">
        <f t="shared" si="7"/>
        <v>3.4955752212389379</v>
      </c>
      <c r="U21" s="33" t="s">
        <v>44</v>
      </c>
      <c r="V21" s="34">
        <f>SUM(K2:K36)/SUM(E2:E36)</f>
        <v>3.3711320754716989</v>
      </c>
      <c r="X21" s="39" t="s">
        <v>62</v>
      </c>
      <c r="Y21" s="42">
        <f>SUMIF(I2:I36,"x",K2:K36)/SUMIF(I2:I36,"x",E2:E36)</f>
        <v>3.473319755600814</v>
      </c>
    </row>
    <row r="22" spans="1:25" ht="16" thickBot="1">
      <c r="A22" t="s">
        <v>17</v>
      </c>
      <c r="B22" s="54" t="str">
        <f t="shared" si="0"/>
        <v>Junior</v>
      </c>
      <c r="C22" t="s">
        <v>99</v>
      </c>
      <c r="D22">
        <v>5</v>
      </c>
      <c r="E22">
        <f t="shared" si="1"/>
        <v>3.3</v>
      </c>
      <c r="F22">
        <v>3.3</v>
      </c>
      <c r="G22" t="s">
        <v>19</v>
      </c>
      <c r="H22">
        <f t="shared" si="2"/>
        <v>3.7</v>
      </c>
      <c r="I22" t="s">
        <v>33</v>
      </c>
      <c r="J22" t="b">
        <v>1</v>
      </c>
      <c r="K22">
        <f t="shared" si="3"/>
        <v>12.209999999999999</v>
      </c>
      <c r="L22">
        <f>SUM($K$2:$K22)</f>
        <v>208.81000000000003</v>
      </c>
      <c r="M22">
        <f>SUM($E$2:$E22)</f>
        <v>61.599999999999987</v>
      </c>
      <c r="N22" s="44">
        <f t="shared" si="4"/>
        <v>12.209999999999999</v>
      </c>
      <c r="O22" s="44">
        <f>SUM($N$2:$N22)</f>
        <v>51.71</v>
      </c>
      <c r="P22" s="44">
        <f t="shared" si="5"/>
        <v>3.3</v>
      </c>
      <c r="Q22" s="44">
        <f>SUM($P$2:$P22)</f>
        <v>14.600000000000001</v>
      </c>
      <c r="R22" s="44">
        <f t="shared" si="6"/>
        <v>3.3897727272727285</v>
      </c>
      <c r="S22" s="44">
        <f t="shared" si="7"/>
        <v>3.5417808219178077</v>
      </c>
      <c r="U22" s="35" t="s">
        <v>45</v>
      </c>
      <c r="V22" s="36">
        <f>IF(D37="",#N/A,SUM(K2:K53)/SUM(E2:E53))</f>
        <v>3.3619135234590622</v>
      </c>
      <c r="X22" s="40" t="s">
        <v>63</v>
      </c>
      <c r="Y22" s="43">
        <f>IF(D37="",#N/A,SUMIF(I2:I52,"x",K2:K52)/SUMIF(I2:I52,"x",E2:E52))</f>
        <v>3.4486486486486476</v>
      </c>
    </row>
    <row r="23" spans="1:25">
      <c r="A23" t="s">
        <v>17</v>
      </c>
      <c r="B23" s="54" t="str">
        <f t="shared" si="0"/>
        <v>Junior</v>
      </c>
      <c r="C23" t="s">
        <v>100</v>
      </c>
      <c r="D23">
        <v>5</v>
      </c>
      <c r="E23">
        <f t="shared" si="1"/>
        <v>3.3</v>
      </c>
      <c r="F23">
        <v>4</v>
      </c>
      <c r="G23" t="s">
        <v>15</v>
      </c>
      <c r="H23">
        <f t="shared" si="2"/>
        <v>3</v>
      </c>
      <c r="I23" t="s">
        <v>33</v>
      </c>
      <c r="J23" t="b">
        <v>1</v>
      </c>
      <c r="K23">
        <f t="shared" si="3"/>
        <v>9.8999999999999986</v>
      </c>
      <c r="L23">
        <f>SUM($K$2:$K23)</f>
        <v>218.71000000000004</v>
      </c>
      <c r="M23">
        <f>SUM($E$2:$E23)</f>
        <v>64.899999999999991</v>
      </c>
      <c r="N23" s="44">
        <f t="shared" si="4"/>
        <v>9.8999999999999986</v>
      </c>
      <c r="O23" s="44">
        <f>SUM($N$2:$N23)</f>
        <v>61.61</v>
      </c>
      <c r="P23" s="44">
        <f t="shared" si="5"/>
        <v>3.3</v>
      </c>
      <c r="Q23" s="44">
        <f>SUM($P$2:$P23)</f>
        <v>17.900000000000002</v>
      </c>
      <c r="R23" s="44">
        <f t="shared" si="6"/>
        <v>3.369953775038522</v>
      </c>
      <c r="S23" s="44">
        <f t="shared" si="7"/>
        <v>3.4418994413407815</v>
      </c>
    </row>
    <row r="24" spans="1:25">
      <c r="A24" t="s">
        <v>17</v>
      </c>
      <c r="B24" s="54" t="str">
        <f t="shared" si="0"/>
        <v>Junior</v>
      </c>
      <c r="C24" t="s">
        <v>101</v>
      </c>
      <c r="D24">
        <v>5</v>
      </c>
      <c r="E24">
        <f t="shared" si="1"/>
        <v>3.3</v>
      </c>
      <c r="F24">
        <v>3.7</v>
      </c>
      <c r="G24" t="s">
        <v>19</v>
      </c>
      <c r="H24">
        <f t="shared" si="2"/>
        <v>3.7</v>
      </c>
      <c r="I24" t="s">
        <v>33</v>
      </c>
      <c r="J24" t="b">
        <v>1</v>
      </c>
      <c r="K24">
        <f t="shared" si="3"/>
        <v>12.209999999999999</v>
      </c>
      <c r="L24">
        <f>SUM($K$2:$K24)</f>
        <v>230.92000000000004</v>
      </c>
      <c r="M24">
        <f>SUM($E$2:$E24)</f>
        <v>68.199999999999989</v>
      </c>
      <c r="N24" s="44">
        <f t="shared" si="4"/>
        <v>12.209999999999999</v>
      </c>
      <c r="O24" s="44">
        <f>SUM($N$2:$N24)</f>
        <v>73.819999999999993</v>
      </c>
      <c r="P24" s="44">
        <f t="shared" si="5"/>
        <v>3.3</v>
      </c>
      <c r="Q24" s="44">
        <f>SUM($P$2:$P24)</f>
        <v>21.200000000000003</v>
      </c>
      <c r="R24" s="44">
        <f t="shared" si="6"/>
        <v>3.3859237536656903</v>
      </c>
      <c r="S24" s="44">
        <f t="shared" si="7"/>
        <v>3.4820754716981126</v>
      </c>
    </row>
    <row r="25" spans="1:25">
      <c r="A25" t="s">
        <v>17</v>
      </c>
      <c r="B25" s="54" t="str">
        <f t="shared" si="0"/>
        <v>Junior</v>
      </c>
      <c r="C25" t="s">
        <v>102</v>
      </c>
      <c r="D25">
        <v>5</v>
      </c>
      <c r="E25">
        <f t="shared" si="1"/>
        <v>3.3</v>
      </c>
      <c r="F25">
        <v>3.9</v>
      </c>
      <c r="G25" t="s">
        <v>15</v>
      </c>
      <c r="H25">
        <f t="shared" si="2"/>
        <v>3</v>
      </c>
      <c r="J25" t="b">
        <v>1</v>
      </c>
      <c r="K25">
        <f t="shared" si="3"/>
        <v>9.8999999999999986</v>
      </c>
      <c r="L25">
        <f>SUM($K$2:$K25)</f>
        <v>240.82000000000005</v>
      </c>
      <c r="M25">
        <f>SUM($E$2:$E25)</f>
        <v>71.499999999999986</v>
      </c>
      <c r="N25" s="44">
        <f t="shared" si="4"/>
        <v>0</v>
      </c>
      <c r="O25" s="44">
        <f>SUM($N$2:$N25)</f>
        <v>73.819999999999993</v>
      </c>
      <c r="P25" s="44">
        <f t="shared" si="5"/>
        <v>0</v>
      </c>
      <c r="Q25" s="44">
        <f>SUM($P$2:$P25)</f>
        <v>21.200000000000003</v>
      </c>
      <c r="R25" s="44">
        <f t="shared" si="6"/>
        <v>3.3681118881118897</v>
      </c>
      <c r="S25" s="44">
        <f t="shared" si="7"/>
        <v>3.4820754716981126</v>
      </c>
    </row>
    <row r="26" spans="1:25">
      <c r="A26" t="s">
        <v>17</v>
      </c>
      <c r="B26" s="54" t="str">
        <f t="shared" si="0"/>
        <v>Junior</v>
      </c>
      <c r="C26" t="s">
        <v>103</v>
      </c>
      <c r="D26">
        <v>5</v>
      </c>
      <c r="E26">
        <f t="shared" si="1"/>
        <v>3.3</v>
      </c>
      <c r="F26">
        <v>4</v>
      </c>
      <c r="G26" t="s">
        <v>19</v>
      </c>
      <c r="H26">
        <f t="shared" si="2"/>
        <v>3.7</v>
      </c>
      <c r="I26" t="s">
        <v>33</v>
      </c>
      <c r="J26" t="b">
        <v>1</v>
      </c>
      <c r="K26">
        <f t="shared" si="3"/>
        <v>12.209999999999999</v>
      </c>
      <c r="L26">
        <f>SUM($K$2:$K26)</f>
        <v>253.03000000000006</v>
      </c>
      <c r="M26">
        <f>SUM($E$2:$E26)</f>
        <v>74.799999999999983</v>
      </c>
      <c r="N26" s="44">
        <f t="shared" si="4"/>
        <v>12.209999999999999</v>
      </c>
      <c r="O26" s="44">
        <f>SUM($N$2:$N26)</f>
        <v>86.029999999999987</v>
      </c>
      <c r="P26" s="44">
        <f t="shared" si="5"/>
        <v>3.3</v>
      </c>
      <c r="Q26" s="44">
        <f>SUM($P$2:$P26)</f>
        <v>24.500000000000004</v>
      </c>
      <c r="R26" s="44">
        <f t="shared" si="6"/>
        <v>3.3827540106951886</v>
      </c>
      <c r="S26" s="44">
        <f t="shared" si="7"/>
        <v>3.5114285714285702</v>
      </c>
    </row>
    <row r="27" spans="1:25">
      <c r="A27" t="s">
        <v>17</v>
      </c>
      <c r="B27" s="54" t="str">
        <f t="shared" si="0"/>
        <v>Junior</v>
      </c>
      <c r="C27" t="s">
        <v>104</v>
      </c>
      <c r="D27">
        <v>5</v>
      </c>
      <c r="E27">
        <f t="shared" si="1"/>
        <v>3.3</v>
      </c>
      <c r="F27">
        <v>3.8</v>
      </c>
      <c r="G27" t="s">
        <v>15</v>
      </c>
      <c r="H27">
        <f t="shared" si="2"/>
        <v>3</v>
      </c>
      <c r="J27" t="b">
        <v>1</v>
      </c>
      <c r="K27">
        <f t="shared" si="3"/>
        <v>9.8999999999999986</v>
      </c>
      <c r="L27">
        <f>SUM($K$2:$K27)</f>
        <v>262.93000000000006</v>
      </c>
      <c r="M27">
        <f>SUM($E$2:$E27)</f>
        <v>78.09999999999998</v>
      </c>
      <c r="N27" s="44">
        <f t="shared" si="4"/>
        <v>0</v>
      </c>
      <c r="O27" s="44">
        <f>SUM($N$2:$N27)</f>
        <v>86.029999999999987</v>
      </c>
      <c r="P27" s="44">
        <f t="shared" si="5"/>
        <v>0</v>
      </c>
      <c r="Q27" s="44">
        <f>SUM($P$2:$P27)</f>
        <v>24.500000000000004</v>
      </c>
      <c r="R27" s="44">
        <f t="shared" si="6"/>
        <v>3.3665813060179275</v>
      </c>
      <c r="S27" s="44">
        <f t="shared" si="7"/>
        <v>3.5114285714285702</v>
      </c>
    </row>
    <row r="28" spans="1:25">
      <c r="A28" t="s">
        <v>17</v>
      </c>
      <c r="B28" s="54" t="str">
        <f t="shared" si="0"/>
        <v>Junior</v>
      </c>
      <c r="C28" t="s">
        <v>105</v>
      </c>
      <c r="D28">
        <v>5</v>
      </c>
      <c r="E28">
        <f t="shared" si="1"/>
        <v>3.3</v>
      </c>
      <c r="F28">
        <v>3.5</v>
      </c>
      <c r="G28" t="s">
        <v>19</v>
      </c>
      <c r="H28">
        <f t="shared" si="2"/>
        <v>3.7</v>
      </c>
      <c r="I28" t="s">
        <v>33</v>
      </c>
      <c r="J28" t="b">
        <v>1</v>
      </c>
      <c r="K28">
        <f t="shared" si="3"/>
        <v>12.209999999999999</v>
      </c>
      <c r="L28">
        <f>SUM($K$2:$K28)</f>
        <v>275.14000000000004</v>
      </c>
      <c r="M28">
        <f>SUM($E$2:$E28)</f>
        <v>81.399999999999977</v>
      </c>
      <c r="N28" s="44">
        <f t="shared" si="4"/>
        <v>12.209999999999999</v>
      </c>
      <c r="O28" s="44">
        <f>SUM($N$2:$N28)</f>
        <v>98.239999999999981</v>
      </c>
      <c r="P28" s="44">
        <f t="shared" si="5"/>
        <v>3.3</v>
      </c>
      <c r="Q28" s="44">
        <f>SUM($P$2:$P28)</f>
        <v>27.800000000000004</v>
      </c>
      <c r="R28" s="44">
        <f t="shared" si="6"/>
        <v>3.3800982800982817</v>
      </c>
      <c r="S28" s="44">
        <f t="shared" si="7"/>
        <v>3.5338129496402866</v>
      </c>
    </row>
    <row r="29" spans="1:25">
      <c r="A29" t="s">
        <v>17</v>
      </c>
      <c r="B29" s="54" t="str">
        <f t="shared" si="0"/>
        <v>Junior</v>
      </c>
      <c r="C29" t="s">
        <v>106</v>
      </c>
      <c r="D29">
        <v>5</v>
      </c>
      <c r="E29">
        <f t="shared" si="1"/>
        <v>3.3</v>
      </c>
      <c r="F29">
        <v>4</v>
      </c>
      <c r="G29" t="s">
        <v>15</v>
      </c>
      <c r="H29">
        <f t="shared" si="2"/>
        <v>3</v>
      </c>
      <c r="J29" t="b">
        <v>1</v>
      </c>
      <c r="K29">
        <f t="shared" si="3"/>
        <v>9.8999999999999986</v>
      </c>
      <c r="L29">
        <f>SUM($K$2:$K29)</f>
        <v>285.04000000000002</v>
      </c>
      <c r="M29">
        <f>SUM($E$2:$E29)</f>
        <v>84.699999999999974</v>
      </c>
      <c r="N29" s="44">
        <f t="shared" si="4"/>
        <v>0</v>
      </c>
      <c r="O29" s="44">
        <f>SUM($N$2:$N29)</f>
        <v>98.239999999999981</v>
      </c>
      <c r="P29" s="44">
        <f t="shared" si="5"/>
        <v>0</v>
      </c>
      <c r="Q29" s="44">
        <f>SUM($P$2:$P29)</f>
        <v>27.800000000000004</v>
      </c>
      <c r="R29" s="44">
        <f t="shared" si="6"/>
        <v>3.3652892561983485</v>
      </c>
      <c r="S29" s="44">
        <f t="shared" si="7"/>
        <v>3.5338129496402866</v>
      </c>
    </row>
    <row r="30" spans="1:25">
      <c r="A30" t="s">
        <v>18</v>
      </c>
      <c r="B30" s="54" t="str">
        <f t="shared" si="0"/>
        <v>Junior</v>
      </c>
      <c r="C30" t="s">
        <v>107</v>
      </c>
      <c r="D30">
        <v>5</v>
      </c>
      <c r="E30">
        <f t="shared" si="1"/>
        <v>3.3</v>
      </c>
      <c r="F30">
        <v>3.9</v>
      </c>
      <c r="G30" t="s">
        <v>19</v>
      </c>
      <c r="H30">
        <f t="shared" si="2"/>
        <v>3.7</v>
      </c>
      <c r="I30" t="s">
        <v>33</v>
      </c>
      <c r="J30" t="b">
        <v>1</v>
      </c>
      <c r="K30">
        <f t="shared" si="3"/>
        <v>12.209999999999999</v>
      </c>
      <c r="L30">
        <f>SUM($K$2:$K30)</f>
        <v>297.25</v>
      </c>
      <c r="M30">
        <f>SUM($E$2:$E30)</f>
        <v>87.999999999999972</v>
      </c>
      <c r="N30" s="44">
        <f t="shared" si="4"/>
        <v>12.209999999999999</v>
      </c>
      <c r="O30" s="44">
        <f>SUM($N$2:$N30)</f>
        <v>110.44999999999997</v>
      </c>
      <c r="P30" s="44">
        <f t="shared" si="5"/>
        <v>3.3</v>
      </c>
      <c r="Q30" s="44">
        <f>SUM($P$2:$P30)</f>
        <v>31.100000000000005</v>
      </c>
      <c r="R30" s="44">
        <f t="shared" si="6"/>
        <v>3.3778409090909101</v>
      </c>
      <c r="S30" s="44">
        <f t="shared" si="7"/>
        <v>3.5514469453376192</v>
      </c>
    </row>
    <row r="31" spans="1:25">
      <c r="A31" t="s">
        <v>18</v>
      </c>
      <c r="B31" s="54" t="str">
        <f t="shared" si="0"/>
        <v>Senior</v>
      </c>
      <c r="C31" t="s">
        <v>108</v>
      </c>
      <c r="D31">
        <v>5</v>
      </c>
      <c r="E31">
        <f t="shared" si="1"/>
        <v>3.3</v>
      </c>
      <c r="F31">
        <v>3.6</v>
      </c>
      <c r="G31" t="s">
        <v>15</v>
      </c>
      <c r="H31">
        <f t="shared" si="2"/>
        <v>3</v>
      </c>
      <c r="I31" t="s">
        <v>33</v>
      </c>
      <c r="J31" t="b">
        <v>1</v>
      </c>
      <c r="K31">
        <f t="shared" si="3"/>
        <v>9.8999999999999986</v>
      </c>
      <c r="L31">
        <f>SUM($K$2:$K31)</f>
        <v>307.14999999999998</v>
      </c>
      <c r="M31">
        <f>SUM($E$2:$E31)</f>
        <v>91.299999999999969</v>
      </c>
      <c r="N31" s="44">
        <f t="shared" si="4"/>
        <v>9.8999999999999986</v>
      </c>
      <c r="O31" s="44">
        <f>SUM($N$2:$N31)</f>
        <v>120.34999999999997</v>
      </c>
      <c r="P31" s="44">
        <f t="shared" si="5"/>
        <v>3.3</v>
      </c>
      <c r="Q31" s="44">
        <f>SUM($P$2:$P31)</f>
        <v>34.400000000000006</v>
      </c>
      <c r="R31" s="44">
        <f t="shared" si="6"/>
        <v>3.3641840087623227</v>
      </c>
      <c r="S31" s="44">
        <f t="shared" si="7"/>
        <v>3.4985465116279055</v>
      </c>
    </row>
    <row r="32" spans="1:25">
      <c r="A32" t="s">
        <v>18</v>
      </c>
      <c r="B32" s="54" t="str">
        <f t="shared" si="0"/>
        <v>Senior</v>
      </c>
      <c r="C32" t="s">
        <v>109</v>
      </c>
      <c r="D32">
        <v>5</v>
      </c>
      <c r="E32">
        <f t="shared" si="1"/>
        <v>3.3</v>
      </c>
      <c r="F32">
        <v>4</v>
      </c>
      <c r="G32" t="s">
        <v>19</v>
      </c>
      <c r="H32">
        <f t="shared" si="2"/>
        <v>3.7</v>
      </c>
      <c r="I32" t="s">
        <v>33</v>
      </c>
      <c r="J32" t="b">
        <v>1</v>
      </c>
      <c r="K32">
        <f t="shared" si="3"/>
        <v>12.209999999999999</v>
      </c>
      <c r="L32">
        <f>SUM($K$2:$K32)</f>
        <v>319.35999999999996</v>
      </c>
      <c r="M32">
        <f>SUM($E$2:$E32)</f>
        <v>94.599999999999966</v>
      </c>
      <c r="N32" s="44">
        <f t="shared" si="4"/>
        <v>12.209999999999999</v>
      </c>
      <c r="O32" s="44">
        <f>SUM($N$2:$N32)</f>
        <v>132.55999999999997</v>
      </c>
      <c r="P32" s="44">
        <f t="shared" si="5"/>
        <v>3.3</v>
      </c>
      <c r="Q32" s="44">
        <f>SUM($P$2:$P32)</f>
        <v>37.700000000000003</v>
      </c>
      <c r="R32" s="44">
        <f t="shared" si="6"/>
        <v>3.3758985200845673</v>
      </c>
      <c r="S32" s="44">
        <f t="shared" si="7"/>
        <v>3.5161803713527844</v>
      </c>
    </row>
    <row r="33" spans="1:19">
      <c r="A33" t="s">
        <v>18</v>
      </c>
      <c r="B33" s="54" t="str">
        <f t="shared" si="0"/>
        <v>Senior</v>
      </c>
      <c r="C33" t="s">
        <v>110</v>
      </c>
      <c r="D33">
        <v>5</v>
      </c>
      <c r="E33">
        <f t="shared" si="1"/>
        <v>3.3</v>
      </c>
      <c r="F33">
        <v>3.7</v>
      </c>
      <c r="G33" t="s">
        <v>15</v>
      </c>
      <c r="H33">
        <f t="shared" si="2"/>
        <v>3</v>
      </c>
      <c r="I33" t="s">
        <v>33</v>
      </c>
      <c r="J33" t="b">
        <v>1</v>
      </c>
      <c r="K33">
        <f t="shared" si="3"/>
        <v>9.8999999999999986</v>
      </c>
      <c r="L33">
        <f>SUM($K$2:$K33)</f>
        <v>329.25999999999993</v>
      </c>
      <c r="M33">
        <f>SUM($E$2:$E33)</f>
        <v>97.899999999999963</v>
      </c>
      <c r="N33" s="44">
        <f t="shared" si="4"/>
        <v>9.8999999999999986</v>
      </c>
      <c r="O33" s="44">
        <f>SUM($N$2:$N33)</f>
        <v>142.45999999999998</v>
      </c>
      <c r="P33" s="44">
        <f t="shared" si="5"/>
        <v>3.3</v>
      </c>
      <c r="Q33" s="44">
        <f>SUM($P$2:$P33)</f>
        <v>41</v>
      </c>
      <c r="R33" s="44">
        <f t="shared" si="6"/>
        <v>3.3632277834525031</v>
      </c>
      <c r="S33" s="44">
        <f t="shared" si="7"/>
        <v>3.4746341463414629</v>
      </c>
    </row>
    <row r="34" spans="1:19">
      <c r="A34" t="s">
        <v>18</v>
      </c>
      <c r="B34" s="54" t="str">
        <f t="shared" si="0"/>
        <v>Senior</v>
      </c>
      <c r="C34" t="s">
        <v>111</v>
      </c>
      <c r="D34">
        <v>4</v>
      </c>
      <c r="E34">
        <f t="shared" si="1"/>
        <v>2.7</v>
      </c>
      <c r="F34">
        <v>3.7</v>
      </c>
      <c r="G34" t="s">
        <v>19</v>
      </c>
      <c r="H34">
        <f t="shared" si="2"/>
        <v>3.7</v>
      </c>
      <c r="I34" t="s">
        <v>33</v>
      </c>
      <c r="J34" t="b">
        <v>1</v>
      </c>
      <c r="K34">
        <f t="shared" si="3"/>
        <v>9.990000000000002</v>
      </c>
      <c r="L34">
        <f>SUM($K$2:$K34)</f>
        <v>339.24999999999994</v>
      </c>
      <c r="M34">
        <f>SUM($E$2:$E34)</f>
        <v>100.59999999999997</v>
      </c>
      <c r="N34" s="44">
        <f t="shared" si="4"/>
        <v>9.990000000000002</v>
      </c>
      <c r="O34" s="44">
        <f>SUM($N$2:$N34)</f>
        <v>152.44999999999999</v>
      </c>
      <c r="P34" s="44">
        <f t="shared" si="5"/>
        <v>2.7</v>
      </c>
      <c r="Q34" s="44">
        <f>SUM($P$2:$P34)</f>
        <v>43.7</v>
      </c>
      <c r="R34" s="44">
        <f t="shared" si="6"/>
        <v>3.372266401590458</v>
      </c>
      <c r="S34" s="44">
        <f t="shared" si="7"/>
        <v>3.4885583524027455</v>
      </c>
    </row>
    <row r="35" spans="1:19">
      <c r="A35" t="s">
        <v>18</v>
      </c>
      <c r="B35" s="54" t="str">
        <f t="shared" si="0"/>
        <v>Senior</v>
      </c>
      <c r="C35" t="s">
        <v>112</v>
      </c>
      <c r="D35">
        <v>4</v>
      </c>
      <c r="E35">
        <f t="shared" si="1"/>
        <v>2.7</v>
      </c>
      <c r="F35">
        <v>3.7</v>
      </c>
      <c r="G35" t="s">
        <v>15</v>
      </c>
      <c r="H35">
        <f t="shared" si="2"/>
        <v>3</v>
      </c>
      <c r="I35" t="s">
        <v>33</v>
      </c>
      <c r="J35" t="b">
        <v>1</v>
      </c>
      <c r="K35">
        <f t="shared" si="3"/>
        <v>8.1000000000000014</v>
      </c>
      <c r="L35">
        <f>SUM($K$2:$K35)</f>
        <v>347.34999999999997</v>
      </c>
      <c r="M35">
        <f>SUM($E$2:$E35)</f>
        <v>103.29999999999997</v>
      </c>
      <c r="N35" s="44">
        <f t="shared" si="4"/>
        <v>8.1000000000000014</v>
      </c>
      <c r="O35" s="44">
        <f>SUM($N$2:$N35)</f>
        <v>160.54999999999998</v>
      </c>
      <c r="P35" s="44">
        <f t="shared" si="5"/>
        <v>2.7</v>
      </c>
      <c r="Q35" s="44">
        <f>SUM($P$2:$P35)</f>
        <v>46.400000000000006</v>
      </c>
      <c r="R35" s="44">
        <f t="shared" si="6"/>
        <v>3.3625363020329146</v>
      </c>
      <c r="S35" s="44">
        <f t="shared" si="7"/>
        <v>3.460129310344827</v>
      </c>
    </row>
    <row r="36" spans="1:19">
      <c r="A36" t="s">
        <v>18</v>
      </c>
      <c r="B36" s="54" t="str">
        <f t="shared" si="0"/>
        <v>Senior</v>
      </c>
      <c r="C36" t="s">
        <v>113</v>
      </c>
      <c r="D36">
        <v>4</v>
      </c>
      <c r="E36">
        <f t="shared" si="1"/>
        <v>2.7</v>
      </c>
      <c r="F36">
        <v>3.5</v>
      </c>
      <c r="G36" t="s">
        <v>19</v>
      </c>
      <c r="H36">
        <f t="shared" si="2"/>
        <v>3.7</v>
      </c>
      <c r="I36" t="s">
        <v>33</v>
      </c>
      <c r="J36" t="b">
        <v>1</v>
      </c>
      <c r="K36">
        <f t="shared" si="3"/>
        <v>9.990000000000002</v>
      </c>
      <c r="L36">
        <f>SUM($K$2:$K36)</f>
        <v>357.34</v>
      </c>
      <c r="M36">
        <f>SUM($E$2:$E36)</f>
        <v>105.99999999999997</v>
      </c>
      <c r="N36" s="44">
        <f t="shared" si="4"/>
        <v>9.990000000000002</v>
      </c>
      <c r="O36" s="44">
        <f>SUM($N$2:$N36)</f>
        <v>170.54</v>
      </c>
      <c r="P36" s="44">
        <f t="shared" si="5"/>
        <v>2.7</v>
      </c>
      <c r="Q36" s="44">
        <f>SUM($P$2:$P36)</f>
        <v>49.100000000000009</v>
      </c>
      <c r="R36" s="44">
        <f t="shared" si="6"/>
        <v>3.3711320754716989</v>
      </c>
      <c r="S36" s="44">
        <f t="shared" si="7"/>
        <v>3.473319755600814</v>
      </c>
    </row>
    <row r="37" spans="1:19">
      <c r="A37" t="s">
        <v>18</v>
      </c>
      <c r="B37" s="54" t="str">
        <f t="shared" si="0"/>
        <v>Senior</v>
      </c>
      <c r="C37" t="s">
        <v>114</v>
      </c>
      <c r="D37">
        <v>4</v>
      </c>
      <c r="E37">
        <f t="shared" si="1"/>
        <v>2.7</v>
      </c>
      <c r="F37">
        <v>3.7</v>
      </c>
      <c r="G37" t="s">
        <v>15</v>
      </c>
      <c r="H37">
        <f t="shared" si="2"/>
        <v>3</v>
      </c>
      <c r="I37" t="s">
        <v>33</v>
      </c>
      <c r="J37" t="b">
        <v>1</v>
      </c>
      <c r="K37">
        <f t="shared" ref="K37:K42" si="10">H37*E37</f>
        <v>8.1000000000000014</v>
      </c>
      <c r="L37">
        <f>SUM($K$2:$K37)</f>
        <v>365.44</v>
      </c>
      <c r="M37">
        <f>SUM($E$2:$E37)</f>
        <v>108.69999999999997</v>
      </c>
      <c r="N37" s="44">
        <f t="shared" ref="N37:N42" si="11">IF(I37="x",K37,0)</f>
        <v>8.1000000000000014</v>
      </c>
      <c r="O37" s="44">
        <f>SUM($N$2:$N37)</f>
        <v>178.64</v>
      </c>
      <c r="P37" s="44">
        <f t="shared" ref="P37:P42" si="12">IF(I37="x",E37,)</f>
        <v>2.7</v>
      </c>
      <c r="Q37" s="44">
        <f>SUM($P$2:$P37)</f>
        <v>51.800000000000011</v>
      </c>
      <c r="R37" s="44">
        <f t="shared" ref="R37:R42" si="13">L37/M37</f>
        <v>3.3619135234590622</v>
      </c>
      <c r="S37" s="44">
        <f t="shared" ref="S37:S42" si="14">O37/Q37</f>
        <v>3.4486486486486476</v>
      </c>
    </row>
    <row r="38" spans="1:19">
      <c r="A38" t="s">
        <v>18</v>
      </c>
      <c r="B38" s="54" t="str">
        <f t="shared" si="0"/>
        <v>Senior</v>
      </c>
      <c r="E38">
        <f t="shared" si="1"/>
        <v>0</v>
      </c>
      <c r="H38">
        <f t="shared" si="2"/>
        <v>0</v>
      </c>
      <c r="J38" t="b">
        <v>1</v>
      </c>
      <c r="K38">
        <f t="shared" si="10"/>
        <v>0</v>
      </c>
      <c r="L38">
        <f>SUM($K$2:$K38)</f>
        <v>365.44</v>
      </c>
      <c r="M38">
        <f>SUM($E$2:$E38)</f>
        <v>108.69999999999997</v>
      </c>
      <c r="N38" s="44">
        <f t="shared" si="11"/>
        <v>0</v>
      </c>
      <c r="O38" s="44">
        <f>SUM($N$2:$N38)</f>
        <v>178.64</v>
      </c>
      <c r="P38" s="44">
        <f t="shared" si="12"/>
        <v>0</v>
      </c>
      <c r="Q38" s="44">
        <f>SUM($P$2:$P38)</f>
        <v>51.800000000000011</v>
      </c>
      <c r="R38" s="44">
        <f t="shared" si="13"/>
        <v>3.3619135234590622</v>
      </c>
      <c r="S38" s="44">
        <f t="shared" si="14"/>
        <v>3.4486486486486476</v>
      </c>
    </row>
    <row r="39" spans="1:19">
      <c r="A39" t="s">
        <v>18</v>
      </c>
      <c r="B39" s="54" t="str">
        <f t="shared" si="0"/>
        <v>Senior</v>
      </c>
      <c r="E39">
        <f t="shared" si="1"/>
        <v>0</v>
      </c>
      <c r="H39">
        <f t="shared" si="2"/>
        <v>0</v>
      </c>
      <c r="J39" t="b">
        <v>1</v>
      </c>
      <c r="K39">
        <f t="shared" si="10"/>
        <v>0</v>
      </c>
      <c r="L39">
        <f>SUM($K$2:$K39)</f>
        <v>365.44</v>
      </c>
      <c r="M39">
        <f>SUM($E$2:$E39)</f>
        <v>108.69999999999997</v>
      </c>
      <c r="N39" s="44">
        <f t="shared" si="11"/>
        <v>0</v>
      </c>
      <c r="O39" s="44">
        <f>SUM($N$2:$N39)</f>
        <v>178.64</v>
      </c>
      <c r="P39" s="44">
        <f t="shared" si="12"/>
        <v>0</v>
      </c>
      <c r="Q39" s="44">
        <f>SUM($P$2:$P39)</f>
        <v>51.800000000000011</v>
      </c>
      <c r="R39" s="44">
        <f t="shared" si="13"/>
        <v>3.3619135234590622</v>
      </c>
      <c r="S39" s="44">
        <f t="shared" si="14"/>
        <v>3.4486486486486476</v>
      </c>
    </row>
    <row r="40" spans="1:19">
      <c r="A40" t="s">
        <v>18</v>
      </c>
      <c r="B40" s="54" t="str">
        <f t="shared" si="0"/>
        <v>Senior</v>
      </c>
      <c r="E40">
        <f t="shared" si="1"/>
        <v>0</v>
      </c>
      <c r="H40">
        <f t="shared" si="2"/>
        <v>0</v>
      </c>
      <c r="J40" t="b">
        <v>1</v>
      </c>
      <c r="K40">
        <f t="shared" si="10"/>
        <v>0</v>
      </c>
      <c r="L40">
        <f>SUM($K$2:$K40)</f>
        <v>365.44</v>
      </c>
      <c r="M40">
        <f>SUM($E$2:$E40)</f>
        <v>108.69999999999997</v>
      </c>
      <c r="N40" s="44">
        <f t="shared" si="11"/>
        <v>0</v>
      </c>
      <c r="O40" s="44">
        <f>SUM($N$2:$N40)</f>
        <v>178.64</v>
      </c>
      <c r="P40" s="44">
        <f t="shared" si="12"/>
        <v>0</v>
      </c>
      <c r="Q40" s="44">
        <f>SUM($P$2:$P40)</f>
        <v>51.800000000000011</v>
      </c>
      <c r="R40" s="44">
        <f t="shared" si="13"/>
        <v>3.3619135234590622</v>
      </c>
      <c r="S40" s="44">
        <f t="shared" si="14"/>
        <v>3.4486486486486476</v>
      </c>
    </row>
    <row r="41" spans="1:19">
      <c r="A41" t="s">
        <v>18</v>
      </c>
      <c r="B41" s="54" t="str">
        <f t="shared" si="0"/>
        <v>Senior</v>
      </c>
      <c r="E41">
        <f t="shared" si="1"/>
        <v>0</v>
      </c>
      <c r="H41">
        <f t="shared" si="2"/>
        <v>0</v>
      </c>
      <c r="J41" t="b">
        <v>1</v>
      </c>
      <c r="K41">
        <f t="shared" si="10"/>
        <v>0</v>
      </c>
      <c r="L41">
        <f>SUM($K$2:$K41)</f>
        <v>365.44</v>
      </c>
      <c r="M41">
        <f>SUM($E$2:$E41)</f>
        <v>108.69999999999997</v>
      </c>
      <c r="N41" s="44">
        <f t="shared" si="11"/>
        <v>0</v>
      </c>
      <c r="O41" s="44">
        <f>SUM($N$2:$N41)</f>
        <v>178.64</v>
      </c>
      <c r="P41" s="44">
        <f t="shared" si="12"/>
        <v>0</v>
      </c>
      <c r="Q41" s="44">
        <f>SUM($P$2:$P41)</f>
        <v>51.800000000000011</v>
      </c>
      <c r="R41" s="44">
        <f t="shared" si="13"/>
        <v>3.3619135234590622</v>
      </c>
      <c r="S41" s="44">
        <f t="shared" si="14"/>
        <v>3.4486486486486476</v>
      </c>
    </row>
    <row r="42" spans="1:19">
      <c r="A42" t="s">
        <v>18</v>
      </c>
      <c r="B42" s="54" t="str">
        <f t="shared" si="0"/>
        <v>Senior</v>
      </c>
      <c r="E42">
        <f t="shared" si="1"/>
        <v>0</v>
      </c>
      <c r="H42">
        <f t="shared" si="2"/>
        <v>0</v>
      </c>
      <c r="J42" t="b">
        <v>1</v>
      </c>
      <c r="K42">
        <f t="shared" si="10"/>
        <v>0</v>
      </c>
      <c r="L42">
        <f>SUM($K$2:$K42)</f>
        <v>365.44</v>
      </c>
      <c r="M42">
        <f>SUM($E$2:$E42)</f>
        <v>108.69999999999997</v>
      </c>
      <c r="N42" s="44">
        <f t="shared" si="11"/>
        <v>0</v>
      </c>
      <c r="O42" s="44">
        <f>SUM($N$2:$N42)</f>
        <v>178.64</v>
      </c>
      <c r="P42" s="44">
        <f t="shared" si="12"/>
        <v>0</v>
      </c>
      <c r="Q42" s="44">
        <f>SUM($P$2:$P42)</f>
        <v>51.800000000000011</v>
      </c>
      <c r="R42" s="44">
        <f t="shared" si="13"/>
        <v>3.3619135234590622</v>
      </c>
      <c r="S42" s="44">
        <f t="shared" si="14"/>
        <v>3.4486486486486476</v>
      </c>
    </row>
    <row r="43" spans="1:19">
      <c r="A43" t="s">
        <v>18</v>
      </c>
      <c r="B43" s="54" t="str">
        <f t="shared" si="0"/>
        <v>Senior</v>
      </c>
      <c r="E43">
        <f t="shared" si="1"/>
        <v>0</v>
      </c>
      <c r="H43">
        <f t="shared" si="2"/>
        <v>0</v>
      </c>
      <c r="J43" t="b">
        <v>1</v>
      </c>
      <c r="K43">
        <f t="shared" ref="K43:K52" si="15">H43*E43</f>
        <v>0</v>
      </c>
      <c r="L43">
        <f>SUM($K$2:$K43)</f>
        <v>365.44</v>
      </c>
      <c r="M43">
        <f>SUM($E$2:$E43)</f>
        <v>108.69999999999997</v>
      </c>
      <c r="N43" s="44">
        <f t="shared" ref="N43:N52" si="16">IF(I43="x",K43,0)</f>
        <v>0</v>
      </c>
      <c r="O43" s="44">
        <f>SUM($N$2:$N43)</f>
        <v>178.64</v>
      </c>
      <c r="P43" s="44">
        <f t="shared" ref="P43:P52" si="17">IF(I43="x",E43,)</f>
        <v>0</v>
      </c>
      <c r="Q43" s="44">
        <f>SUM($P$2:$P43)</f>
        <v>51.800000000000011</v>
      </c>
      <c r="R43" s="44">
        <f t="shared" ref="R43:R52" si="18">L43/M43</f>
        <v>3.3619135234590622</v>
      </c>
      <c r="S43" s="44">
        <f t="shared" ref="S43:S52" si="19">O43/Q43</f>
        <v>3.4486486486486476</v>
      </c>
    </row>
    <row r="44" spans="1:19">
      <c r="A44" t="s">
        <v>18</v>
      </c>
      <c r="B44" s="54" t="str">
        <f t="shared" si="0"/>
        <v>Senior</v>
      </c>
      <c r="E44">
        <f t="shared" si="1"/>
        <v>0</v>
      </c>
      <c r="H44">
        <f t="shared" si="2"/>
        <v>0</v>
      </c>
      <c r="J44" t="b">
        <v>1</v>
      </c>
      <c r="K44">
        <f t="shared" si="15"/>
        <v>0</v>
      </c>
      <c r="L44">
        <f>SUM($K$2:$K44)</f>
        <v>365.44</v>
      </c>
      <c r="M44">
        <f>SUM($E$2:$E44)</f>
        <v>108.69999999999997</v>
      </c>
      <c r="N44" s="44">
        <f t="shared" si="16"/>
        <v>0</v>
      </c>
      <c r="O44" s="44">
        <f>SUM($N$2:$N44)</f>
        <v>178.64</v>
      </c>
      <c r="P44" s="44">
        <f t="shared" si="17"/>
        <v>0</v>
      </c>
      <c r="Q44" s="44">
        <f>SUM($P$2:$P44)</f>
        <v>51.800000000000011</v>
      </c>
      <c r="R44" s="44">
        <f t="shared" si="18"/>
        <v>3.3619135234590622</v>
      </c>
      <c r="S44" s="44">
        <f t="shared" si="19"/>
        <v>3.4486486486486476</v>
      </c>
    </row>
    <row r="45" spans="1:19">
      <c r="A45" t="s">
        <v>18</v>
      </c>
      <c r="B45" s="54" t="str">
        <f t="shared" si="0"/>
        <v>Senior</v>
      </c>
      <c r="E45">
        <f t="shared" si="1"/>
        <v>0</v>
      </c>
      <c r="H45">
        <f t="shared" si="2"/>
        <v>0</v>
      </c>
      <c r="J45" t="b">
        <v>1</v>
      </c>
      <c r="K45">
        <f t="shared" si="15"/>
        <v>0</v>
      </c>
      <c r="L45">
        <f>SUM($K$2:$K45)</f>
        <v>365.44</v>
      </c>
      <c r="M45">
        <f>SUM($E$2:$E45)</f>
        <v>108.69999999999997</v>
      </c>
      <c r="N45" s="44">
        <f t="shared" si="16"/>
        <v>0</v>
      </c>
      <c r="O45" s="44">
        <f>SUM($N$2:$N45)</f>
        <v>178.64</v>
      </c>
      <c r="P45" s="44">
        <f t="shared" si="17"/>
        <v>0</v>
      </c>
      <c r="Q45" s="44">
        <f>SUM($P$2:$P45)</f>
        <v>51.800000000000011</v>
      </c>
      <c r="R45" s="44">
        <f t="shared" si="18"/>
        <v>3.3619135234590622</v>
      </c>
      <c r="S45" s="44">
        <f t="shared" si="19"/>
        <v>3.4486486486486476</v>
      </c>
    </row>
    <row r="46" spans="1:19">
      <c r="A46" t="s">
        <v>18</v>
      </c>
      <c r="B46" s="54" t="str">
        <f t="shared" si="0"/>
        <v>Senior</v>
      </c>
      <c r="E46">
        <f t="shared" si="1"/>
        <v>0</v>
      </c>
      <c r="H46">
        <f t="shared" si="2"/>
        <v>0</v>
      </c>
      <c r="J46" t="b">
        <v>1</v>
      </c>
      <c r="K46">
        <f t="shared" si="15"/>
        <v>0</v>
      </c>
      <c r="L46">
        <f>SUM($K$2:$K46)</f>
        <v>365.44</v>
      </c>
      <c r="M46">
        <f>SUM($E$2:$E46)</f>
        <v>108.69999999999997</v>
      </c>
      <c r="N46" s="44">
        <f t="shared" si="16"/>
        <v>0</v>
      </c>
      <c r="O46" s="44">
        <f>SUM($N$2:$N46)</f>
        <v>178.64</v>
      </c>
      <c r="P46" s="44">
        <f t="shared" si="17"/>
        <v>0</v>
      </c>
      <c r="Q46" s="44">
        <f>SUM($P$2:$P46)</f>
        <v>51.800000000000011</v>
      </c>
      <c r="R46" s="44">
        <f t="shared" si="18"/>
        <v>3.3619135234590622</v>
      </c>
      <c r="S46" s="44">
        <f t="shared" si="19"/>
        <v>3.4486486486486476</v>
      </c>
    </row>
    <row r="47" spans="1:19">
      <c r="A47" t="s">
        <v>18</v>
      </c>
      <c r="B47" s="54" t="str">
        <f t="shared" si="0"/>
        <v>Senior</v>
      </c>
      <c r="E47">
        <f t="shared" si="1"/>
        <v>0</v>
      </c>
      <c r="H47">
        <f t="shared" si="2"/>
        <v>0</v>
      </c>
      <c r="J47" t="b">
        <v>1</v>
      </c>
      <c r="K47">
        <f t="shared" si="15"/>
        <v>0</v>
      </c>
      <c r="L47">
        <f>SUM($K$2:$K47)</f>
        <v>365.44</v>
      </c>
      <c r="M47">
        <f>SUM($E$2:$E47)</f>
        <v>108.69999999999997</v>
      </c>
      <c r="N47" s="44">
        <f t="shared" si="16"/>
        <v>0</v>
      </c>
      <c r="O47" s="44">
        <f>SUM($N$2:$N47)</f>
        <v>178.64</v>
      </c>
      <c r="P47" s="44">
        <f t="shared" si="17"/>
        <v>0</v>
      </c>
      <c r="Q47" s="44">
        <f>SUM($P$2:$P47)</f>
        <v>51.800000000000011</v>
      </c>
      <c r="R47" s="44">
        <f t="shared" si="18"/>
        <v>3.3619135234590622</v>
      </c>
      <c r="S47" s="44">
        <f t="shared" si="19"/>
        <v>3.4486486486486476</v>
      </c>
    </row>
    <row r="48" spans="1:19">
      <c r="A48" t="s">
        <v>18</v>
      </c>
      <c r="B48" s="54" t="str">
        <f t="shared" si="0"/>
        <v>Senior</v>
      </c>
      <c r="E48">
        <f t="shared" si="1"/>
        <v>0</v>
      </c>
      <c r="H48">
        <f t="shared" si="2"/>
        <v>0</v>
      </c>
      <c r="J48" t="b">
        <v>1</v>
      </c>
      <c r="K48">
        <f t="shared" si="15"/>
        <v>0</v>
      </c>
      <c r="L48">
        <f>SUM($K$2:$K48)</f>
        <v>365.44</v>
      </c>
      <c r="M48">
        <f>SUM($E$2:$E48)</f>
        <v>108.69999999999997</v>
      </c>
      <c r="N48" s="44">
        <f t="shared" si="16"/>
        <v>0</v>
      </c>
      <c r="O48" s="44">
        <f>SUM($N$2:$N48)</f>
        <v>178.64</v>
      </c>
      <c r="P48" s="44">
        <f t="shared" si="17"/>
        <v>0</v>
      </c>
      <c r="Q48" s="44">
        <f>SUM($P$2:$P48)</f>
        <v>51.800000000000011</v>
      </c>
      <c r="R48" s="44">
        <f t="shared" si="18"/>
        <v>3.3619135234590622</v>
      </c>
      <c r="S48" s="44">
        <f t="shared" si="19"/>
        <v>3.4486486486486476</v>
      </c>
    </row>
    <row r="49" spans="1:19">
      <c r="A49" t="s">
        <v>18</v>
      </c>
      <c r="B49" s="54" t="str">
        <f t="shared" si="0"/>
        <v>Senior</v>
      </c>
      <c r="E49">
        <f t="shared" si="1"/>
        <v>0</v>
      </c>
      <c r="H49">
        <f t="shared" si="2"/>
        <v>0</v>
      </c>
      <c r="J49" t="b">
        <v>1</v>
      </c>
      <c r="K49">
        <f t="shared" si="15"/>
        <v>0</v>
      </c>
      <c r="L49">
        <f>SUM($K$2:$K49)</f>
        <v>365.44</v>
      </c>
      <c r="M49">
        <f>SUM($E$2:$E49)</f>
        <v>108.69999999999997</v>
      </c>
      <c r="N49" s="44">
        <f t="shared" si="16"/>
        <v>0</v>
      </c>
      <c r="O49" s="44">
        <f>SUM($N$2:$N49)</f>
        <v>178.64</v>
      </c>
      <c r="P49" s="44">
        <f t="shared" si="17"/>
        <v>0</v>
      </c>
      <c r="Q49" s="44">
        <f>SUM($P$2:$P49)</f>
        <v>51.800000000000011</v>
      </c>
      <c r="R49" s="44">
        <f t="shared" si="18"/>
        <v>3.3619135234590622</v>
      </c>
      <c r="S49" s="44">
        <f t="shared" si="19"/>
        <v>3.4486486486486476</v>
      </c>
    </row>
    <row r="50" spans="1:19">
      <c r="A50" t="s">
        <v>18</v>
      </c>
      <c r="B50" s="54" t="str">
        <f t="shared" si="0"/>
        <v>Senior</v>
      </c>
      <c r="E50">
        <f t="shared" si="1"/>
        <v>0</v>
      </c>
      <c r="H50">
        <f t="shared" si="2"/>
        <v>0</v>
      </c>
      <c r="J50" t="b">
        <v>1</v>
      </c>
      <c r="K50">
        <f t="shared" si="15"/>
        <v>0</v>
      </c>
      <c r="L50">
        <f>SUM($K$2:$K50)</f>
        <v>365.44</v>
      </c>
      <c r="M50">
        <f>SUM($E$2:$E50)</f>
        <v>108.69999999999997</v>
      </c>
      <c r="N50" s="44">
        <f t="shared" si="16"/>
        <v>0</v>
      </c>
      <c r="O50" s="44">
        <f>SUM($N$2:$N50)</f>
        <v>178.64</v>
      </c>
      <c r="P50" s="44">
        <f t="shared" si="17"/>
        <v>0</v>
      </c>
      <c r="Q50" s="44">
        <f>SUM($P$2:$P50)</f>
        <v>51.800000000000011</v>
      </c>
      <c r="R50" s="44">
        <f t="shared" si="18"/>
        <v>3.3619135234590622</v>
      </c>
      <c r="S50" s="44">
        <f t="shared" si="19"/>
        <v>3.4486486486486476</v>
      </c>
    </row>
    <row r="51" spans="1:19">
      <c r="A51" t="s">
        <v>18</v>
      </c>
      <c r="B51" s="54" t="str">
        <f t="shared" si="0"/>
        <v>Senior</v>
      </c>
      <c r="E51">
        <f t="shared" si="1"/>
        <v>0</v>
      </c>
      <c r="H51">
        <f t="shared" si="2"/>
        <v>0</v>
      </c>
      <c r="J51" t="b">
        <v>1</v>
      </c>
      <c r="K51">
        <f t="shared" si="15"/>
        <v>0</v>
      </c>
      <c r="L51">
        <f>SUM($K$2:$K51)</f>
        <v>365.44</v>
      </c>
      <c r="M51">
        <f>SUM($E$2:$E51)</f>
        <v>108.69999999999997</v>
      </c>
      <c r="N51" s="44">
        <f t="shared" si="16"/>
        <v>0</v>
      </c>
      <c r="O51" s="44">
        <f>SUM($N$2:$N51)</f>
        <v>178.64</v>
      </c>
      <c r="P51" s="44">
        <f t="shared" si="17"/>
        <v>0</v>
      </c>
      <c r="Q51" s="44">
        <f>SUM($P$2:$P51)</f>
        <v>51.800000000000011</v>
      </c>
      <c r="R51" s="44">
        <f t="shared" si="18"/>
        <v>3.3619135234590622</v>
      </c>
      <c r="S51" s="44">
        <f t="shared" si="19"/>
        <v>3.4486486486486476</v>
      </c>
    </row>
    <row r="52" spans="1:19">
      <c r="A52" t="s">
        <v>18</v>
      </c>
      <c r="B52" s="54" t="str">
        <f t="shared" si="0"/>
        <v>Senior</v>
      </c>
      <c r="E52">
        <f t="shared" si="1"/>
        <v>0</v>
      </c>
      <c r="H52">
        <f t="shared" si="2"/>
        <v>0</v>
      </c>
      <c r="J52" t="b">
        <v>1</v>
      </c>
      <c r="K52">
        <f t="shared" si="15"/>
        <v>0</v>
      </c>
      <c r="L52">
        <f>SUM($K$2:$K52)</f>
        <v>365.44</v>
      </c>
      <c r="M52">
        <f>SUM($E$2:$E52)</f>
        <v>108.69999999999997</v>
      </c>
      <c r="N52" s="44">
        <f t="shared" si="16"/>
        <v>0</v>
      </c>
      <c r="O52" s="44">
        <f>SUM($N$2:$N52)</f>
        <v>178.64</v>
      </c>
      <c r="P52" s="44">
        <f t="shared" si="17"/>
        <v>0</v>
      </c>
      <c r="Q52" s="44">
        <f>SUM($P$2:$P52)</f>
        <v>51.800000000000011</v>
      </c>
      <c r="R52" s="44">
        <f t="shared" si="18"/>
        <v>3.3619135234590622</v>
      </c>
      <c r="S52" s="44">
        <f t="shared" si="19"/>
        <v>3.4486486486486476</v>
      </c>
    </row>
    <row r="72" spans="1:8" ht="49">
      <c r="A72" s="1" t="s">
        <v>5</v>
      </c>
      <c r="B72" s="1" t="s">
        <v>20</v>
      </c>
      <c r="D72" s="1" t="s">
        <v>29</v>
      </c>
      <c r="E72" s="5" t="s">
        <v>30</v>
      </c>
      <c r="G72" s="37" t="s">
        <v>58</v>
      </c>
      <c r="H72" t="s">
        <v>57</v>
      </c>
    </row>
    <row r="73" spans="1:8">
      <c r="A73" s="2" t="s">
        <v>21</v>
      </c>
      <c r="B73" s="2">
        <v>0</v>
      </c>
      <c r="D73" s="2">
        <v>0.5</v>
      </c>
      <c r="E73" s="2">
        <v>0.3</v>
      </c>
      <c r="G73" t="s">
        <v>14</v>
      </c>
      <c r="H73" t="s">
        <v>46</v>
      </c>
    </row>
    <row r="74" spans="1:8">
      <c r="A74" s="3" t="s">
        <v>14</v>
      </c>
      <c r="B74" s="4">
        <v>4</v>
      </c>
      <c r="D74" s="4">
        <v>1</v>
      </c>
      <c r="E74" s="2">
        <v>0.7</v>
      </c>
      <c r="G74" t="s">
        <v>19</v>
      </c>
      <c r="H74" t="s">
        <v>47</v>
      </c>
    </row>
    <row r="75" spans="1:8">
      <c r="A75" s="3" t="s">
        <v>19</v>
      </c>
      <c r="B75" s="4">
        <v>3.7</v>
      </c>
      <c r="D75" s="4">
        <v>1.5</v>
      </c>
      <c r="E75" s="2">
        <v>1</v>
      </c>
      <c r="G75" t="s">
        <v>16</v>
      </c>
      <c r="H75" t="s">
        <v>48</v>
      </c>
    </row>
    <row r="76" spans="1:8">
      <c r="A76" s="3" t="s">
        <v>22</v>
      </c>
      <c r="B76" s="4">
        <v>4</v>
      </c>
      <c r="D76" s="4">
        <v>2</v>
      </c>
      <c r="E76" s="2">
        <v>1.3</v>
      </c>
      <c r="G76" t="s">
        <v>15</v>
      </c>
      <c r="H76" t="s">
        <v>49</v>
      </c>
    </row>
    <row r="77" spans="1:8">
      <c r="A77" s="3" t="s">
        <v>15</v>
      </c>
      <c r="B77" s="4">
        <v>3</v>
      </c>
      <c r="D77" s="4">
        <v>2.5</v>
      </c>
      <c r="E77" s="2">
        <v>1.7</v>
      </c>
      <c r="G77" t="s">
        <v>23</v>
      </c>
      <c r="H77" t="s">
        <v>50</v>
      </c>
    </row>
    <row r="78" spans="1:8">
      <c r="A78" s="3" t="s">
        <v>23</v>
      </c>
      <c r="B78" s="4">
        <v>2.7</v>
      </c>
      <c r="D78" s="4">
        <v>3</v>
      </c>
      <c r="E78" s="2">
        <v>2</v>
      </c>
      <c r="G78" t="s">
        <v>25</v>
      </c>
      <c r="H78" t="s">
        <v>51</v>
      </c>
    </row>
    <row r="79" spans="1:8">
      <c r="A79" s="3" t="s">
        <v>16</v>
      </c>
      <c r="B79" s="4">
        <v>3.5</v>
      </c>
      <c r="D79" s="2">
        <v>3.5</v>
      </c>
      <c r="E79" s="2">
        <v>2.2999999999999998</v>
      </c>
      <c r="G79" t="s">
        <v>11</v>
      </c>
      <c r="H79" t="s">
        <v>52</v>
      </c>
    </row>
    <row r="80" spans="1:8">
      <c r="A80" s="3" t="s">
        <v>11</v>
      </c>
      <c r="B80" s="4">
        <v>2</v>
      </c>
      <c r="D80" s="4">
        <v>4</v>
      </c>
      <c r="E80" s="2">
        <v>2.7</v>
      </c>
      <c r="G80" t="s">
        <v>24</v>
      </c>
      <c r="H80" t="s">
        <v>53</v>
      </c>
    </row>
    <row r="81" spans="1:8">
      <c r="A81" s="3" t="s">
        <v>24</v>
      </c>
      <c r="B81" s="4">
        <v>1.7</v>
      </c>
      <c r="D81" s="4">
        <v>4.5</v>
      </c>
      <c r="E81" s="2">
        <v>3</v>
      </c>
      <c r="G81" t="s">
        <v>28</v>
      </c>
      <c r="H81" t="s">
        <v>54</v>
      </c>
    </row>
    <row r="82" spans="1:8">
      <c r="A82" s="3" t="s">
        <v>25</v>
      </c>
      <c r="B82" s="4">
        <v>2.5</v>
      </c>
      <c r="D82" s="4">
        <v>5</v>
      </c>
      <c r="E82" s="2">
        <v>3.3</v>
      </c>
      <c r="G82" t="s">
        <v>26</v>
      </c>
      <c r="H82" t="s">
        <v>55</v>
      </c>
    </row>
    <row r="83" spans="1:8">
      <c r="A83" s="3" t="s">
        <v>26</v>
      </c>
      <c r="B83" s="4">
        <v>1</v>
      </c>
      <c r="D83" s="4">
        <v>6</v>
      </c>
      <c r="E83" s="2">
        <v>4</v>
      </c>
      <c r="G83" t="s">
        <v>27</v>
      </c>
      <c r="H83" t="s">
        <v>56</v>
      </c>
    </row>
    <row r="84" spans="1:8">
      <c r="A84" s="3" t="s">
        <v>27</v>
      </c>
      <c r="B84" s="4">
        <v>0.7</v>
      </c>
      <c r="D84" s="4">
        <v>7</v>
      </c>
      <c r="E84" s="2">
        <v>4.7</v>
      </c>
    </row>
    <row r="85" spans="1:8">
      <c r="A85" s="3" t="s">
        <v>28</v>
      </c>
      <c r="B85" s="4">
        <v>1.3</v>
      </c>
      <c r="D85" s="4">
        <v>8</v>
      </c>
      <c r="E85" s="2">
        <v>5.3</v>
      </c>
    </row>
    <row r="86" spans="1:8">
      <c r="A86" s="3" t="s">
        <v>21</v>
      </c>
      <c r="B86" s="4">
        <v>0</v>
      </c>
      <c r="D86" s="4">
        <v>9</v>
      </c>
      <c r="E86" s="2">
        <v>6</v>
      </c>
    </row>
    <row r="87" spans="1:8">
      <c r="A87" s="3" t="s">
        <v>12</v>
      </c>
      <c r="B87" s="4">
        <v>0</v>
      </c>
      <c r="D87" s="4">
        <v>10</v>
      </c>
      <c r="E87" s="2">
        <v>6.7</v>
      </c>
    </row>
    <row r="88" spans="1:8">
      <c r="D88" s="2">
        <v>12</v>
      </c>
      <c r="E88" s="2">
        <v>8</v>
      </c>
    </row>
    <row r="89" spans="1:8">
      <c r="D89" s="2">
        <v>15</v>
      </c>
      <c r="E89" s="2">
        <v>10</v>
      </c>
    </row>
    <row r="90" spans="1:8">
      <c r="D90" s="2">
        <v>20</v>
      </c>
      <c r="E90" s="2">
        <v>13.3</v>
      </c>
    </row>
    <row r="91" spans="1:8">
      <c r="D91" s="2" t="s">
        <v>31</v>
      </c>
      <c r="E91" s="2">
        <v>0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autoPageBreaks="0"/>
  </sheetPr>
  <dimension ref="A1:AA91"/>
  <sheetViews>
    <sheetView workbookViewId="0">
      <selection activeCell="B2" sqref="B2"/>
    </sheetView>
  </sheetViews>
  <sheetFormatPr baseColWidth="10" defaultRowHeight="15" x14ac:dyDescent="0"/>
  <cols>
    <col min="3" max="4" width="12.6640625" customWidth="1"/>
    <col min="6" max="6" width="12.83203125" customWidth="1"/>
    <col min="7" max="7" width="13.1640625" customWidth="1"/>
    <col min="8" max="8" width="14.5" customWidth="1"/>
    <col min="9" max="9" width="19.33203125" customWidth="1"/>
    <col min="13" max="13" width="10.83203125" customWidth="1"/>
    <col min="14" max="14" width="12.6640625" customWidth="1"/>
    <col min="15" max="15" width="9.83203125" style="44" customWidth="1"/>
    <col min="16" max="17" width="12.6640625" style="44" customWidth="1"/>
    <col min="18" max="18" width="10.83203125" customWidth="1"/>
    <col min="19" max="20" width="10.83203125" style="44"/>
    <col min="22" max="22" width="16.5" customWidth="1"/>
    <col min="25" max="25" width="17.83203125" customWidth="1"/>
    <col min="27" max="27" width="15.1640625" customWidth="1"/>
  </cols>
  <sheetData>
    <row r="1" spans="1:27" ht="16" thickBot="1">
      <c r="A1" s="53" t="s">
        <v>0</v>
      </c>
      <c r="B1" s="53" t="s">
        <v>1</v>
      </c>
      <c r="C1" s="53" t="s">
        <v>10</v>
      </c>
      <c r="D1" s="53" t="s">
        <v>76</v>
      </c>
      <c r="E1" s="53" t="s">
        <v>2</v>
      </c>
      <c r="F1" s="50" t="s">
        <v>3</v>
      </c>
      <c r="G1" s="52" t="s">
        <v>4</v>
      </c>
      <c r="H1" s="53" t="s">
        <v>5</v>
      </c>
      <c r="I1" s="50" t="s">
        <v>6</v>
      </c>
      <c r="J1" s="53" t="s">
        <v>7</v>
      </c>
      <c r="K1" s="53" t="s">
        <v>32</v>
      </c>
      <c r="L1" s="50" t="s">
        <v>40</v>
      </c>
      <c r="M1" s="50" t="s">
        <v>69</v>
      </c>
      <c r="N1" s="50" t="s">
        <v>68</v>
      </c>
      <c r="O1" s="51" t="s">
        <v>66</v>
      </c>
      <c r="P1" s="51" t="s">
        <v>67</v>
      </c>
      <c r="Q1" s="51" t="s">
        <v>71</v>
      </c>
      <c r="R1" s="50" t="s">
        <v>70</v>
      </c>
      <c r="S1" s="51" t="s">
        <v>59</v>
      </c>
      <c r="T1" s="51" t="s">
        <v>60</v>
      </c>
      <c r="U1" s="6"/>
      <c r="Z1" s="14"/>
      <c r="AA1" s="14"/>
    </row>
    <row r="2" spans="1:27">
      <c r="A2" t="s">
        <v>8</v>
      </c>
      <c r="B2" t="str">
        <f>IF(N2&gt;=91,"Senior",IF(N2&gt;=61,"Junior",IF(N2&gt;=31,"Sophomore",IF(N2&gt;=0,"Freshman","Error"))))</f>
        <v>Freshman</v>
      </c>
      <c r="C2" t="s">
        <v>79</v>
      </c>
      <c r="D2" s="49" t="s">
        <v>33</v>
      </c>
      <c r="E2">
        <v>4</v>
      </c>
      <c r="F2">
        <f>IF(D2="x",0,IF(K2=TRUE,IF(E2="",0,VLOOKUP(E2,$E$73:$F$91,2)),E2))</f>
        <v>0</v>
      </c>
      <c r="H2" t="s">
        <v>19</v>
      </c>
      <c r="I2">
        <f>IF(H2="", 0, VLOOKUP(H2,$A$73:$B$87,2))</f>
        <v>3.7</v>
      </c>
      <c r="J2" t="s">
        <v>33</v>
      </c>
      <c r="K2" t="b">
        <v>1</v>
      </c>
      <c r="L2">
        <f>IF(D2="x",0,I2*F2)</f>
        <v>0</v>
      </c>
      <c r="M2">
        <f>SUM($L$2:$L2)</f>
        <v>0</v>
      </c>
      <c r="N2">
        <f>SUM($F$2:$F2)</f>
        <v>0</v>
      </c>
      <c r="O2" s="44">
        <f>IF(J2="x",L2,0)</f>
        <v>0</v>
      </c>
      <c r="P2" s="44">
        <f>SUM($O$2:$O2)</f>
        <v>0</v>
      </c>
      <c r="Q2" s="44">
        <f>IF(J2="x",F2,)</f>
        <v>0</v>
      </c>
      <c r="R2" s="44">
        <f>SUM($Q$2:$Q2)</f>
        <v>0</v>
      </c>
      <c r="S2" s="44" t="e">
        <f>M2/N2</f>
        <v>#DIV/0!</v>
      </c>
      <c r="T2" s="44" t="e">
        <f>P2/R2</f>
        <v>#DIV/0!</v>
      </c>
      <c r="V2" s="7" t="s">
        <v>65</v>
      </c>
      <c r="W2" s="10" t="s">
        <v>40</v>
      </c>
      <c r="X2" s="10" t="s">
        <v>41</v>
      </c>
      <c r="Y2" s="11" t="s">
        <v>38</v>
      </c>
      <c r="Z2" s="15"/>
      <c r="AA2" s="14"/>
    </row>
    <row r="3" spans="1:27">
      <c r="A3" t="s">
        <v>8</v>
      </c>
      <c r="B3" t="str">
        <f t="shared" ref="B3:B52" si="0">IF(N3&gt;=91,"Senior",IF(N3&gt;=61,"Junior",IF(N3&gt;=31,"Sophomore",IF(N3&gt;=0,"Freshman","Error"))))</f>
        <v>Freshman</v>
      </c>
      <c r="C3" t="s">
        <v>80</v>
      </c>
      <c r="D3" s="49"/>
      <c r="E3">
        <v>4</v>
      </c>
      <c r="F3">
        <f t="shared" ref="F3:F52" si="1">IF(D3="x",0,IF(K3=TRUE,IF(E3="",0,VLOOKUP(E3,$E$73:$F$91,2)),E3))</f>
        <v>2.7</v>
      </c>
      <c r="H3" t="s">
        <v>15</v>
      </c>
      <c r="I3">
        <f t="shared" ref="I3:I37" si="2">IF(H3="", 0, VLOOKUP(H3,$A$73:$B$87,2))</f>
        <v>3</v>
      </c>
      <c r="K3" t="b">
        <v>1</v>
      </c>
      <c r="L3">
        <f t="shared" ref="L3:L52" si="3">IF(D3="x",0,I3*F3)</f>
        <v>8.1000000000000014</v>
      </c>
      <c r="M3">
        <f>SUM($L$2:$L3)</f>
        <v>8.1000000000000014</v>
      </c>
      <c r="N3">
        <f>SUM($F$2:$F3)</f>
        <v>2.7</v>
      </c>
      <c r="O3" s="44">
        <f t="shared" ref="O3:O52" si="4">IF(J3="x",L3,0)</f>
        <v>0</v>
      </c>
      <c r="P3" s="44">
        <f>SUM($O$2:$O3)</f>
        <v>0</v>
      </c>
      <c r="Q3" s="44">
        <f t="shared" ref="Q3:Q52" si="5">IF(J3="x",F3,)</f>
        <v>0</v>
      </c>
      <c r="R3" s="44">
        <f>SUM($Q$2:$Q3)</f>
        <v>0</v>
      </c>
      <c r="S3" s="44">
        <f t="shared" ref="S3:S52" si="6">M3/N3</f>
        <v>3.0000000000000004</v>
      </c>
      <c r="T3" s="44" t="e">
        <f t="shared" ref="T3:T52" si="7">P3/R3</f>
        <v>#DIV/0!</v>
      </c>
      <c r="V3" s="12" t="s">
        <v>9</v>
      </c>
      <c r="W3" s="8">
        <f>SUMIF(B2:B53,"Highschool",L2:L53)</f>
        <v>0</v>
      </c>
      <c r="X3" s="8">
        <f>SUMIF(B2:B53,"Highschool",F2:F53)</f>
        <v>0</v>
      </c>
      <c r="Y3" s="16">
        <f>W3/IF(W3=0,1,X3)</f>
        <v>0</v>
      </c>
      <c r="Z3" s="15"/>
    </row>
    <row r="4" spans="1:27">
      <c r="A4" t="s">
        <v>8</v>
      </c>
      <c r="B4" t="str">
        <f t="shared" si="0"/>
        <v>Freshman</v>
      </c>
      <c r="C4" t="s">
        <v>81</v>
      </c>
      <c r="D4" s="49" t="s">
        <v>33</v>
      </c>
      <c r="E4">
        <v>4</v>
      </c>
      <c r="F4">
        <f t="shared" si="1"/>
        <v>0</v>
      </c>
      <c r="H4" t="s">
        <v>19</v>
      </c>
      <c r="I4">
        <f t="shared" si="2"/>
        <v>3.7</v>
      </c>
      <c r="K4" t="b">
        <v>1</v>
      </c>
      <c r="L4">
        <f t="shared" si="3"/>
        <v>0</v>
      </c>
      <c r="M4">
        <f>SUM($L$2:$L4)</f>
        <v>8.1000000000000014</v>
      </c>
      <c r="N4">
        <f>SUM($F$2:$F4)</f>
        <v>2.7</v>
      </c>
      <c r="O4" s="44">
        <f t="shared" si="4"/>
        <v>0</v>
      </c>
      <c r="P4" s="44">
        <f>SUM($O$2:$O4)</f>
        <v>0</v>
      </c>
      <c r="Q4" s="44">
        <f t="shared" si="5"/>
        <v>0</v>
      </c>
      <c r="R4" s="44">
        <f>SUM($Q$2:$Q4)</f>
        <v>0</v>
      </c>
      <c r="S4" s="44">
        <f t="shared" si="6"/>
        <v>3.0000000000000004</v>
      </c>
      <c r="T4" s="44" t="e">
        <f t="shared" si="7"/>
        <v>#DIV/0!</v>
      </c>
      <c r="V4" s="12" t="s">
        <v>34</v>
      </c>
      <c r="W4" s="8">
        <f>SUMIF(B2:B53,"Freshman",L2:L53)</f>
        <v>100.30000000000001</v>
      </c>
      <c r="X4" s="8">
        <f>SUMIF(B2:B53,"Freshman",F2:F53)</f>
        <v>29.7</v>
      </c>
      <c r="Y4" s="16">
        <f t="shared" ref="Y4:Y6" si="8">W4/IF(W4=0,1,X4)</f>
        <v>3.3771043771043776</v>
      </c>
      <c r="Z4" s="15"/>
    </row>
    <row r="5" spans="1:27">
      <c r="A5" t="s">
        <v>8</v>
      </c>
      <c r="B5" t="str">
        <f t="shared" si="0"/>
        <v>Freshman</v>
      </c>
      <c r="C5" t="s">
        <v>82</v>
      </c>
      <c r="D5" s="49"/>
      <c r="E5">
        <v>3</v>
      </c>
      <c r="F5">
        <f t="shared" si="1"/>
        <v>2</v>
      </c>
      <c r="H5" t="s">
        <v>19</v>
      </c>
      <c r="I5">
        <f t="shared" si="2"/>
        <v>3.7</v>
      </c>
      <c r="K5" t="b">
        <v>1</v>
      </c>
      <c r="L5">
        <f t="shared" si="3"/>
        <v>7.4</v>
      </c>
      <c r="M5">
        <f>SUM($L$2:$L5)</f>
        <v>15.500000000000002</v>
      </c>
      <c r="N5">
        <f>SUM($F$2:$F5)</f>
        <v>4.7</v>
      </c>
      <c r="O5" s="44">
        <f t="shared" si="4"/>
        <v>0</v>
      </c>
      <c r="P5" s="44">
        <f>SUM($O$2:$O5)</f>
        <v>0</v>
      </c>
      <c r="Q5" s="44">
        <f t="shared" si="5"/>
        <v>0</v>
      </c>
      <c r="R5" s="44">
        <f>SUM($Q$2:$Q5)</f>
        <v>0</v>
      </c>
      <c r="S5" s="44">
        <f t="shared" si="6"/>
        <v>3.2978723404255321</v>
      </c>
      <c r="T5" s="44" t="e">
        <f t="shared" si="7"/>
        <v>#DIV/0!</v>
      </c>
      <c r="V5" s="12" t="s">
        <v>35</v>
      </c>
      <c r="W5" s="8">
        <f>SUMIF(B2:B53,"Sophomore",L2:L53)</f>
        <v>102.22</v>
      </c>
      <c r="X5" s="8">
        <f>SUMIF(B2:B53,"Sophomore",F2:F53)</f>
        <v>29.500000000000004</v>
      </c>
      <c r="Y5" s="16">
        <f t="shared" si="8"/>
        <v>3.4650847457627112</v>
      </c>
      <c r="Z5" s="15"/>
    </row>
    <row r="6" spans="1:27">
      <c r="A6" t="s">
        <v>8</v>
      </c>
      <c r="B6" t="str">
        <f t="shared" si="0"/>
        <v>Freshman</v>
      </c>
      <c r="C6" t="s">
        <v>83</v>
      </c>
      <c r="D6" s="49"/>
      <c r="E6">
        <v>3</v>
      </c>
      <c r="F6">
        <f t="shared" si="1"/>
        <v>2</v>
      </c>
      <c r="H6" t="s">
        <v>15</v>
      </c>
      <c r="I6">
        <f t="shared" si="2"/>
        <v>3</v>
      </c>
      <c r="K6" t="b">
        <v>1</v>
      </c>
      <c r="L6">
        <f t="shared" si="3"/>
        <v>6</v>
      </c>
      <c r="M6">
        <f>SUM($L$2:$L6)</f>
        <v>21.5</v>
      </c>
      <c r="N6">
        <f>SUM($F$2:$F6)</f>
        <v>6.7</v>
      </c>
      <c r="O6" s="44">
        <f t="shared" si="4"/>
        <v>0</v>
      </c>
      <c r="P6" s="44">
        <f>SUM($O$2:$O6)</f>
        <v>0</v>
      </c>
      <c r="Q6" s="44">
        <f t="shared" si="5"/>
        <v>0</v>
      </c>
      <c r="R6" s="44">
        <f>SUM($Q$2:$Q6)</f>
        <v>0</v>
      </c>
      <c r="S6" s="44">
        <f t="shared" si="6"/>
        <v>3.2089552238805967</v>
      </c>
      <c r="T6" s="44" t="e">
        <f t="shared" si="7"/>
        <v>#DIV/0!</v>
      </c>
      <c r="V6" s="12" t="s">
        <v>36</v>
      </c>
      <c r="W6" s="8">
        <f>SUMIF(B2:B53,"Junior",L2:L53)</f>
        <v>102.95999999999998</v>
      </c>
      <c r="X6" s="8">
        <f>SUMIF(B2:B53,"Junior",F2:F53)</f>
        <v>29.700000000000003</v>
      </c>
      <c r="Y6" s="16">
        <f t="shared" si="8"/>
        <v>3.4666666666666655</v>
      </c>
      <c r="Z6" s="15"/>
    </row>
    <row r="7" spans="1:27" ht="16" thickBot="1">
      <c r="A7" t="s">
        <v>13</v>
      </c>
      <c r="B7" t="str">
        <f t="shared" si="0"/>
        <v>Freshman</v>
      </c>
      <c r="C7" t="s">
        <v>84</v>
      </c>
      <c r="D7" s="49"/>
      <c r="E7">
        <v>3</v>
      </c>
      <c r="F7">
        <f t="shared" si="1"/>
        <v>3</v>
      </c>
      <c r="H7" t="s">
        <v>19</v>
      </c>
      <c r="I7">
        <f t="shared" si="2"/>
        <v>3.7</v>
      </c>
      <c r="K7" t="b">
        <v>0</v>
      </c>
      <c r="L7">
        <f t="shared" si="3"/>
        <v>11.100000000000001</v>
      </c>
      <c r="M7">
        <f>SUM($L$2:$L7)</f>
        <v>32.6</v>
      </c>
      <c r="N7">
        <f>SUM($F$2:$F7)</f>
        <v>9.6999999999999993</v>
      </c>
      <c r="O7" s="44">
        <f t="shared" si="4"/>
        <v>0</v>
      </c>
      <c r="P7" s="44">
        <f>SUM($O$2:$O7)</f>
        <v>0</v>
      </c>
      <c r="Q7" s="44">
        <f t="shared" si="5"/>
        <v>0</v>
      </c>
      <c r="R7" s="44">
        <f>SUM($Q$2:$Q7)</f>
        <v>0</v>
      </c>
      <c r="S7" s="44">
        <f t="shared" si="6"/>
        <v>3.3608247422680417</v>
      </c>
      <c r="T7" s="44" t="e">
        <f t="shared" si="7"/>
        <v>#DIV/0!</v>
      </c>
      <c r="V7" s="13" t="s">
        <v>37</v>
      </c>
      <c r="W7" s="9">
        <f>IF(E37="","",SUMIF(B2:B53,"Senior",L2:L53))</f>
        <v>38.070000000000007</v>
      </c>
      <c r="X7" s="9">
        <f>IF(E37="","",SUMIF(B2:B53,"Senior",F2:F53))</f>
        <v>10.8</v>
      </c>
      <c r="Y7" s="17">
        <f>IF(E37="",#N/A,W7/IF(W7=0,1,X7))</f>
        <v>3.5250000000000004</v>
      </c>
    </row>
    <row r="8" spans="1:27" ht="16" thickBot="1">
      <c r="A8" t="s">
        <v>13</v>
      </c>
      <c r="B8" t="str">
        <f t="shared" si="0"/>
        <v>Freshman</v>
      </c>
      <c r="C8" t="s">
        <v>85</v>
      </c>
      <c r="D8" s="49"/>
      <c r="E8">
        <v>4</v>
      </c>
      <c r="F8">
        <f t="shared" si="1"/>
        <v>4</v>
      </c>
      <c r="H8" t="s">
        <v>19</v>
      </c>
      <c r="I8">
        <f t="shared" si="2"/>
        <v>3.7</v>
      </c>
      <c r="K8" t="b">
        <v>0</v>
      </c>
      <c r="L8">
        <f t="shared" si="3"/>
        <v>14.8</v>
      </c>
      <c r="M8">
        <f>SUM($L$2:$L8)</f>
        <v>47.400000000000006</v>
      </c>
      <c r="N8">
        <f>SUM($F$2:$F8)</f>
        <v>13.7</v>
      </c>
      <c r="O8" s="44">
        <f t="shared" si="4"/>
        <v>0</v>
      </c>
      <c r="P8" s="44">
        <f>SUM($O$2:$O8)</f>
        <v>0</v>
      </c>
      <c r="Q8" s="44">
        <f t="shared" si="5"/>
        <v>0</v>
      </c>
      <c r="R8" s="44">
        <f>SUM($Q$2:$Q8)</f>
        <v>0</v>
      </c>
      <c r="S8" s="44">
        <f t="shared" si="6"/>
        <v>3.4598540145985406</v>
      </c>
      <c r="T8" s="44" t="e">
        <f t="shared" si="7"/>
        <v>#DIV/0!</v>
      </c>
    </row>
    <row r="9" spans="1:27">
      <c r="A9" t="s">
        <v>13</v>
      </c>
      <c r="B9" t="str">
        <f t="shared" si="0"/>
        <v>Freshman</v>
      </c>
      <c r="C9" t="s">
        <v>86</v>
      </c>
      <c r="D9" s="49"/>
      <c r="E9">
        <v>3</v>
      </c>
      <c r="F9">
        <f t="shared" si="1"/>
        <v>3</v>
      </c>
      <c r="H9" t="s">
        <v>15</v>
      </c>
      <c r="I9">
        <f t="shared" si="2"/>
        <v>3</v>
      </c>
      <c r="K9" t="b">
        <v>0</v>
      </c>
      <c r="L9">
        <f t="shared" si="3"/>
        <v>9</v>
      </c>
      <c r="M9">
        <f>SUM($L$2:$L9)</f>
        <v>56.400000000000006</v>
      </c>
      <c r="N9">
        <f>SUM($F$2:$F9)</f>
        <v>16.7</v>
      </c>
      <c r="O9" s="44">
        <f t="shared" si="4"/>
        <v>0</v>
      </c>
      <c r="P9" s="44">
        <f>SUM($O$2:$O9)</f>
        <v>0</v>
      </c>
      <c r="Q9" s="44">
        <f t="shared" si="5"/>
        <v>0</v>
      </c>
      <c r="R9" s="44">
        <f>SUM($Q$2:$Q9)</f>
        <v>0</v>
      </c>
      <c r="S9" s="44">
        <f t="shared" si="6"/>
        <v>3.3772455089820363</v>
      </c>
      <c r="T9" s="44" t="e">
        <f t="shared" si="7"/>
        <v>#DIV/0!</v>
      </c>
      <c r="V9" s="22" t="s">
        <v>72</v>
      </c>
      <c r="W9" s="23" t="s">
        <v>40</v>
      </c>
      <c r="X9" s="23" t="s">
        <v>41</v>
      </c>
      <c r="Y9" s="24" t="s">
        <v>39</v>
      </c>
    </row>
    <row r="10" spans="1:27">
      <c r="A10" t="s">
        <v>13</v>
      </c>
      <c r="B10" t="str">
        <f t="shared" si="0"/>
        <v>Freshman</v>
      </c>
      <c r="C10" t="s">
        <v>87</v>
      </c>
      <c r="D10" s="49" t="s">
        <v>33</v>
      </c>
      <c r="E10">
        <v>3</v>
      </c>
      <c r="F10">
        <f t="shared" si="1"/>
        <v>0</v>
      </c>
      <c r="H10" t="s">
        <v>19</v>
      </c>
      <c r="I10">
        <f t="shared" si="2"/>
        <v>3.7</v>
      </c>
      <c r="K10" t="b">
        <v>0</v>
      </c>
      <c r="L10">
        <f t="shared" si="3"/>
        <v>0</v>
      </c>
      <c r="M10">
        <f>SUM($L$2:$L10)</f>
        <v>56.400000000000006</v>
      </c>
      <c r="N10">
        <f>SUM($F$2:$F10)</f>
        <v>16.7</v>
      </c>
      <c r="O10" s="44">
        <f t="shared" si="4"/>
        <v>0</v>
      </c>
      <c r="P10" s="44">
        <f>SUM($O$2:$O10)</f>
        <v>0</v>
      </c>
      <c r="Q10" s="44">
        <f t="shared" si="5"/>
        <v>0</v>
      </c>
      <c r="R10" s="44">
        <f>SUM($Q$2:$Q10)</f>
        <v>0</v>
      </c>
      <c r="S10" s="44">
        <f t="shared" si="6"/>
        <v>3.3772455089820363</v>
      </c>
      <c r="T10" s="44" t="e">
        <f t="shared" si="7"/>
        <v>#DIV/0!</v>
      </c>
      <c r="V10" s="25" t="s">
        <v>9</v>
      </c>
      <c r="W10" s="26">
        <f>SUMIFS(L2:L53,B2:B53,"Highschool",J2:J53,"x")</f>
        <v>0</v>
      </c>
      <c r="X10" s="26">
        <f>SUMIFS(F2:F53,B2:B53,"Highschool",J2:J53,"x")</f>
        <v>0</v>
      </c>
      <c r="Y10" s="27">
        <f>W10/IF(W10=0,1,X10)</f>
        <v>0</v>
      </c>
    </row>
    <row r="11" spans="1:27">
      <c r="A11" t="s">
        <v>13</v>
      </c>
      <c r="B11" t="str">
        <f t="shared" si="0"/>
        <v>Freshman</v>
      </c>
      <c r="C11" t="s">
        <v>88</v>
      </c>
      <c r="D11" s="49"/>
      <c r="E11">
        <v>3</v>
      </c>
      <c r="F11">
        <f t="shared" si="1"/>
        <v>3</v>
      </c>
      <c r="H11" t="s">
        <v>19</v>
      </c>
      <c r="I11">
        <f t="shared" si="2"/>
        <v>3.7</v>
      </c>
      <c r="K11" t="b">
        <v>0</v>
      </c>
      <c r="L11">
        <f t="shared" si="3"/>
        <v>11.100000000000001</v>
      </c>
      <c r="M11">
        <f>SUM($L$2:$L11)</f>
        <v>67.5</v>
      </c>
      <c r="N11">
        <f>SUM($F$2:$F11)</f>
        <v>19.7</v>
      </c>
      <c r="O11" s="44">
        <f t="shared" si="4"/>
        <v>0</v>
      </c>
      <c r="P11" s="44">
        <f>SUM($O$2:$O11)</f>
        <v>0</v>
      </c>
      <c r="Q11" s="44">
        <f t="shared" si="5"/>
        <v>0</v>
      </c>
      <c r="R11" s="44">
        <f>SUM($Q$2:$Q11)</f>
        <v>0</v>
      </c>
      <c r="S11" s="44">
        <f t="shared" si="6"/>
        <v>3.4263959390862944</v>
      </c>
      <c r="T11" s="44" t="e">
        <f t="shared" si="7"/>
        <v>#DIV/0!</v>
      </c>
      <c r="V11" s="25" t="s">
        <v>34</v>
      </c>
      <c r="W11" s="26">
        <f>SUMIFS(L2:L53,B2:B53,"Freshman",J2:J53,"x")</f>
        <v>3.7</v>
      </c>
      <c r="X11" s="26">
        <f>SUMIFS(F2:F53,B2:B53,"Freshman",J2:J53,"x")</f>
        <v>1</v>
      </c>
      <c r="Y11" s="27">
        <f t="shared" ref="Y11:Y13" si="9">W11/IF(W11=0,1,X11)</f>
        <v>3.7</v>
      </c>
    </row>
    <row r="12" spans="1:27">
      <c r="A12" t="s">
        <v>13</v>
      </c>
      <c r="B12" t="str">
        <f t="shared" si="0"/>
        <v>Freshman</v>
      </c>
      <c r="C12" t="s">
        <v>89</v>
      </c>
      <c r="D12" s="49"/>
      <c r="E12">
        <v>3</v>
      </c>
      <c r="F12">
        <f t="shared" si="1"/>
        <v>3</v>
      </c>
      <c r="H12" t="s">
        <v>15</v>
      </c>
      <c r="I12">
        <f t="shared" si="2"/>
        <v>3</v>
      </c>
      <c r="K12" t="b">
        <v>0</v>
      </c>
      <c r="L12">
        <f t="shared" si="3"/>
        <v>9</v>
      </c>
      <c r="M12">
        <f>SUM($L$2:$L12)</f>
        <v>76.5</v>
      </c>
      <c r="N12">
        <f>SUM($F$2:$F12)</f>
        <v>22.7</v>
      </c>
      <c r="O12" s="44">
        <f t="shared" si="4"/>
        <v>0</v>
      </c>
      <c r="P12" s="44">
        <f>SUM($O$2:$O12)</f>
        <v>0</v>
      </c>
      <c r="Q12" s="44">
        <f t="shared" si="5"/>
        <v>0</v>
      </c>
      <c r="R12" s="44">
        <f>SUM($Q$2:$Q12)</f>
        <v>0</v>
      </c>
      <c r="S12" s="44">
        <f t="shared" si="6"/>
        <v>3.3700440528634363</v>
      </c>
      <c r="T12" s="44" t="e">
        <f t="shared" si="7"/>
        <v>#DIV/0!</v>
      </c>
      <c r="V12" s="25" t="s">
        <v>35</v>
      </c>
      <c r="W12" s="26">
        <f>SUMIFS(L2:L53,B2:B53,"Sophomore",J2:J53,"x")</f>
        <v>44.22</v>
      </c>
      <c r="X12" s="26">
        <f>SUMIFS(F2:F53,B2:B53,"Sophomore",J2:J53,"x")</f>
        <v>13.2</v>
      </c>
      <c r="Y12" s="27">
        <f t="shared" si="9"/>
        <v>3.35</v>
      </c>
    </row>
    <row r="13" spans="1:27">
      <c r="A13" t="s">
        <v>13</v>
      </c>
      <c r="B13" t="str">
        <f t="shared" si="0"/>
        <v>Freshman</v>
      </c>
      <c r="C13" t="s">
        <v>90</v>
      </c>
      <c r="D13" s="49"/>
      <c r="E13">
        <v>1</v>
      </c>
      <c r="F13">
        <f t="shared" si="1"/>
        <v>1</v>
      </c>
      <c r="H13" t="s">
        <v>19</v>
      </c>
      <c r="I13">
        <f t="shared" si="2"/>
        <v>3.7</v>
      </c>
      <c r="J13" t="s">
        <v>33</v>
      </c>
      <c r="K13" t="b">
        <v>0</v>
      </c>
      <c r="L13">
        <f t="shared" si="3"/>
        <v>3.7</v>
      </c>
      <c r="M13">
        <f>SUM($L$2:$L13)</f>
        <v>80.2</v>
      </c>
      <c r="N13">
        <f>SUM($F$2:$F13)</f>
        <v>23.7</v>
      </c>
      <c r="O13" s="44">
        <f t="shared" si="4"/>
        <v>3.7</v>
      </c>
      <c r="P13" s="44">
        <f>SUM($O$2:$O13)</f>
        <v>3.7</v>
      </c>
      <c r="Q13" s="44">
        <f t="shared" si="5"/>
        <v>1</v>
      </c>
      <c r="R13" s="44">
        <f>SUM($Q$2:$Q13)</f>
        <v>1</v>
      </c>
      <c r="S13" s="44">
        <f t="shared" si="6"/>
        <v>3.3839662447257388</v>
      </c>
      <c r="T13" s="44">
        <f t="shared" si="7"/>
        <v>3.7</v>
      </c>
      <c r="V13" s="25" t="s">
        <v>36</v>
      </c>
      <c r="W13" s="26">
        <f>SUMIFS(L2:L53,B2:B53,"Junior",J2:J53,"x")</f>
        <v>56.429999999999993</v>
      </c>
      <c r="X13" s="26">
        <f>SUMIFS(F2:F53,B2:B53,"Junior",J2:J53,"x")</f>
        <v>16.5</v>
      </c>
      <c r="Y13" s="27">
        <f t="shared" si="9"/>
        <v>3.4199999999999995</v>
      </c>
    </row>
    <row r="14" spans="1:27" ht="16" thickBot="1">
      <c r="A14" t="s">
        <v>13</v>
      </c>
      <c r="B14" t="str">
        <f t="shared" si="0"/>
        <v>Freshman</v>
      </c>
      <c r="C14" t="s">
        <v>91</v>
      </c>
      <c r="D14" s="49"/>
      <c r="E14">
        <v>3</v>
      </c>
      <c r="F14">
        <f t="shared" si="1"/>
        <v>3</v>
      </c>
      <c r="H14" t="s">
        <v>19</v>
      </c>
      <c r="I14">
        <f t="shared" si="2"/>
        <v>3.7</v>
      </c>
      <c r="K14" t="b">
        <v>0</v>
      </c>
      <c r="L14">
        <f t="shared" si="3"/>
        <v>11.100000000000001</v>
      </c>
      <c r="M14">
        <f>SUM($L$2:$L14)</f>
        <v>91.300000000000011</v>
      </c>
      <c r="N14">
        <f>SUM($F$2:$F14)</f>
        <v>26.7</v>
      </c>
      <c r="O14" s="44">
        <f t="shared" si="4"/>
        <v>0</v>
      </c>
      <c r="P14" s="44">
        <f>SUM($O$2:$O14)</f>
        <v>3.7</v>
      </c>
      <c r="Q14" s="44">
        <f t="shared" si="5"/>
        <v>0</v>
      </c>
      <c r="R14" s="44">
        <f>SUM($Q$2:$Q14)</f>
        <v>1</v>
      </c>
      <c r="S14" s="44">
        <f t="shared" si="6"/>
        <v>3.4194756554307122</v>
      </c>
      <c r="T14" s="44">
        <f t="shared" si="7"/>
        <v>3.7</v>
      </c>
      <c r="V14" s="28" t="s">
        <v>37</v>
      </c>
      <c r="W14" s="29">
        <f>IF(E37="","",SUMIFS(L2:L53,B2:B53,"Senior",J2:J53,"x"))</f>
        <v>38.070000000000007</v>
      </c>
      <c r="X14" s="29">
        <f>IF(E37="","",SUMIFS(F2:F53,B2:B53,"Senior",J2:J53,"x"))</f>
        <v>10.8</v>
      </c>
      <c r="Y14" s="30">
        <f>IF(E37="",#N/A,W14/IF(W14=0,1,X14))</f>
        <v>3.5250000000000004</v>
      </c>
    </row>
    <row r="15" spans="1:27" ht="16" thickBot="1">
      <c r="A15" t="s">
        <v>13</v>
      </c>
      <c r="B15" t="str">
        <f t="shared" si="0"/>
        <v>Freshman</v>
      </c>
      <c r="C15" t="s">
        <v>92</v>
      </c>
      <c r="D15" s="49"/>
      <c r="E15">
        <v>3</v>
      </c>
      <c r="F15">
        <f t="shared" si="1"/>
        <v>3</v>
      </c>
      <c r="H15" t="s">
        <v>15</v>
      </c>
      <c r="I15">
        <f t="shared" si="2"/>
        <v>3</v>
      </c>
      <c r="K15" t="b">
        <v>0</v>
      </c>
      <c r="L15">
        <f t="shared" si="3"/>
        <v>9</v>
      </c>
      <c r="M15">
        <f>SUM($L$2:$L15)</f>
        <v>100.30000000000001</v>
      </c>
      <c r="N15">
        <f>SUM($F$2:$F15)</f>
        <v>29.7</v>
      </c>
      <c r="O15" s="44">
        <f t="shared" si="4"/>
        <v>0</v>
      </c>
      <c r="P15" s="44">
        <f>SUM($O$2:$O15)</f>
        <v>3.7</v>
      </c>
      <c r="Q15" s="44">
        <f t="shared" si="5"/>
        <v>0</v>
      </c>
      <c r="R15" s="44">
        <f>SUM($Q$2:$Q15)</f>
        <v>1</v>
      </c>
      <c r="S15" s="44">
        <f t="shared" si="6"/>
        <v>3.3771043771043776</v>
      </c>
      <c r="T15" s="44">
        <f t="shared" si="7"/>
        <v>3.7</v>
      </c>
    </row>
    <row r="16" spans="1:27">
      <c r="A16" t="s">
        <v>13</v>
      </c>
      <c r="B16" t="str">
        <f t="shared" si="0"/>
        <v>Sophomore</v>
      </c>
      <c r="C16" t="s">
        <v>93</v>
      </c>
      <c r="D16" s="49"/>
      <c r="E16">
        <v>4</v>
      </c>
      <c r="F16">
        <f t="shared" si="1"/>
        <v>4</v>
      </c>
      <c r="H16" t="s">
        <v>19</v>
      </c>
      <c r="I16">
        <f t="shared" si="2"/>
        <v>3.7</v>
      </c>
      <c r="K16" t="b">
        <v>0</v>
      </c>
      <c r="L16">
        <f t="shared" si="3"/>
        <v>14.8</v>
      </c>
      <c r="M16">
        <f>SUM($L$2:$L16)</f>
        <v>115.10000000000001</v>
      </c>
      <c r="N16">
        <f>SUM($F$2:$F16)</f>
        <v>33.700000000000003</v>
      </c>
      <c r="O16" s="44">
        <f t="shared" si="4"/>
        <v>0</v>
      </c>
      <c r="P16" s="44">
        <f>SUM($O$2:$O16)</f>
        <v>3.7</v>
      </c>
      <c r="Q16" s="44">
        <f t="shared" si="5"/>
        <v>0</v>
      </c>
      <c r="R16" s="44">
        <f>SUM($Q$2:$Q16)</f>
        <v>1</v>
      </c>
      <c r="S16" s="44">
        <f t="shared" si="6"/>
        <v>3.4154302670623147</v>
      </c>
      <c r="T16" s="44">
        <f t="shared" si="7"/>
        <v>3.7</v>
      </c>
      <c r="V16" s="18" t="s">
        <v>78</v>
      </c>
      <c r="W16" s="19">
        <f>SUM(L2:L53)/SUM(F2:F53)</f>
        <v>3.4458375125376146</v>
      </c>
    </row>
    <row r="17" spans="1:26" ht="16" thickBot="1">
      <c r="A17" t="s">
        <v>13</v>
      </c>
      <c r="B17" t="str">
        <f t="shared" si="0"/>
        <v>Sophomore</v>
      </c>
      <c r="C17" t="s">
        <v>94</v>
      </c>
      <c r="D17" s="49"/>
      <c r="E17">
        <v>3</v>
      </c>
      <c r="F17">
        <f t="shared" si="1"/>
        <v>3</v>
      </c>
      <c r="H17" t="s">
        <v>19</v>
      </c>
      <c r="I17">
        <f t="shared" si="2"/>
        <v>3.7</v>
      </c>
      <c r="K17" t="b">
        <v>0</v>
      </c>
      <c r="L17">
        <f t="shared" si="3"/>
        <v>11.100000000000001</v>
      </c>
      <c r="M17">
        <f>SUM($L$2:$L17)</f>
        <v>126.20000000000002</v>
      </c>
      <c r="N17">
        <f>SUM($F$2:$F17)</f>
        <v>36.700000000000003</v>
      </c>
      <c r="O17" s="44">
        <f t="shared" si="4"/>
        <v>0</v>
      </c>
      <c r="P17" s="44">
        <f>SUM($O$2:$O17)</f>
        <v>3.7</v>
      </c>
      <c r="Q17" s="44">
        <f t="shared" si="5"/>
        <v>0</v>
      </c>
      <c r="R17" s="44">
        <f>SUM($Q$2:$Q17)</f>
        <v>1</v>
      </c>
      <c r="S17" s="44">
        <f t="shared" si="6"/>
        <v>3.4386920980926434</v>
      </c>
      <c r="T17" s="44">
        <f t="shared" si="7"/>
        <v>3.7</v>
      </c>
      <c r="V17" s="20" t="s">
        <v>77</v>
      </c>
      <c r="W17" s="21">
        <f>SUMIF(J2:J53,"x",L2:L53)/SUMIF(J2:J53,"x",F2:F53)</f>
        <v>3.4318072289156611</v>
      </c>
    </row>
    <row r="18" spans="1:26" ht="16" thickBot="1">
      <c r="A18" t="s">
        <v>17</v>
      </c>
      <c r="B18" t="str">
        <f t="shared" si="0"/>
        <v>Sophomore</v>
      </c>
      <c r="C18" t="s">
        <v>95</v>
      </c>
      <c r="D18" s="49"/>
      <c r="E18">
        <v>5</v>
      </c>
      <c r="F18">
        <f t="shared" si="1"/>
        <v>3.3</v>
      </c>
      <c r="G18">
        <v>3.9</v>
      </c>
      <c r="H18" t="s">
        <v>15</v>
      </c>
      <c r="I18">
        <f t="shared" si="2"/>
        <v>3</v>
      </c>
      <c r="J18" t="s">
        <v>33</v>
      </c>
      <c r="K18" t="b">
        <v>1</v>
      </c>
      <c r="L18">
        <f t="shared" si="3"/>
        <v>9.8999999999999986</v>
      </c>
      <c r="M18">
        <f>SUM($L$2:$L18)</f>
        <v>136.10000000000002</v>
      </c>
      <c r="N18">
        <f>SUM($F$2:$F18)</f>
        <v>40</v>
      </c>
      <c r="O18" s="44">
        <f t="shared" si="4"/>
        <v>9.8999999999999986</v>
      </c>
      <c r="P18" s="44">
        <f>SUM($O$2:$O18)</f>
        <v>13.599999999999998</v>
      </c>
      <c r="Q18" s="44">
        <f t="shared" si="5"/>
        <v>3.3</v>
      </c>
      <c r="R18" s="44">
        <f>SUM($Q$2:$Q18)</f>
        <v>4.3</v>
      </c>
      <c r="S18" s="44">
        <f t="shared" si="6"/>
        <v>3.4025000000000007</v>
      </c>
      <c r="T18" s="44">
        <f t="shared" si="7"/>
        <v>3.1627906976744184</v>
      </c>
    </row>
    <row r="19" spans="1:26">
      <c r="A19" t="s">
        <v>17</v>
      </c>
      <c r="B19" t="str">
        <f t="shared" si="0"/>
        <v>Sophomore</v>
      </c>
      <c r="C19" t="s">
        <v>96</v>
      </c>
      <c r="D19" s="49"/>
      <c r="E19">
        <v>4</v>
      </c>
      <c r="F19">
        <f t="shared" si="1"/>
        <v>2.7</v>
      </c>
      <c r="G19">
        <v>0</v>
      </c>
      <c r="H19" t="s">
        <v>19</v>
      </c>
      <c r="I19">
        <f t="shared" si="2"/>
        <v>3.7</v>
      </c>
      <c r="K19" t="b">
        <v>1</v>
      </c>
      <c r="L19">
        <f t="shared" si="3"/>
        <v>9.990000000000002</v>
      </c>
      <c r="M19">
        <f>SUM($L$2:$L19)</f>
        <v>146.09000000000003</v>
      </c>
      <c r="N19">
        <f>SUM($F$2:$F19)</f>
        <v>42.7</v>
      </c>
      <c r="O19" s="44">
        <f t="shared" si="4"/>
        <v>0</v>
      </c>
      <c r="P19" s="44">
        <f>SUM($O$2:$O19)</f>
        <v>13.599999999999998</v>
      </c>
      <c r="Q19" s="44">
        <f t="shared" si="5"/>
        <v>0</v>
      </c>
      <c r="R19" s="44">
        <f>SUM($Q$2:$Q19)</f>
        <v>4.3</v>
      </c>
      <c r="S19" s="44">
        <f t="shared" si="6"/>
        <v>3.4213114754098366</v>
      </c>
      <c r="T19" s="44">
        <f t="shared" si="7"/>
        <v>3.1627906976744184</v>
      </c>
      <c r="V19" s="31" t="s">
        <v>42</v>
      </c>
      <c r="W19" s="32">
        <f>SUM(L2:L16)/SUM(F2:F16)</f>
        <v>3.4154302670623147</v>
      </c>
      <c r="Y19" s="38" t="s">
        <v>64</v>
      </c>
      <c r="Z19" s="41">
        <f>SUMIF(J2:J16,"x",L2:L16)/SUMIF(J2:J16,"x",F2:F16)</f>
        <v>3.7</v>
      </c>
    </row>
    <row r="20" spans="1:26">
      <c r="A20" t="s">
        <v>17</v>
      </c>
      <c r="B20" t="str">
        <f t="shared" si="0"/>
        <v>Sophomore</v>
      </c>
      <c r="C20" t="s">
        <v>97</v>
      </c>
      <c r="E20">
        <v>5</v>
      </c>
      <c r="F20">
        <f t="shared" si="1"/>
        <v>3.3</v>
      </c>
      <c r="G20">
        <v>2.9</v>
      </c>
      <c r="H20" t="s">
        <v>19</v>
      </c>
      <c r="I20">
        <f t="shared" si="2"/>
        <v>3.7</v>
      </c>
      <c r="K20" t="b">
        <v>1</v>
      </c>
      <c r="L20">
        <f t="shared" si="3"/>
        <v>12.209999999999999</v>
      </c>
      <c r="M20">
        <f>SUM($L$2:$L20)</f>
        <v>158.30000000000004</v>
      </c>
      <c r="N20">
        <f>SUM($F$2:$F20)</f>
        <v>46</v>
      </c>
      <c r="O20" s="44">
        <f t="shared" si="4"/>
        <v>0</v>
      </c>
      <c r="P20" s="44">
        <f>SUM($O$2:$O20)</f>
        <v>13.599999999999998</v>
      </c>
      <c r="Q20" s="44">
        <f t="shared" si="5"/>
        <v>0</v>
      </c>
      <c r="R20" s="44">
        <f>SUM($Q$2:$Q20)</f>
        <v>4.3</v>
      </c>
      <c r="S20" s="44">
        <f t="shared" si="6"/>
        <v>3.4413043478260876</v>
      </c>
      <c r="T20" s="44">
        <f t="shared" si="7"/>
        <v>3.1627906976744184</v>
      </c>
      <c r="V20" s="33" t="s">
        <v>43</v>
      </c>
      <c r="W20" s="34">
        <f>SUM(L2:L26)/SUM(F2:F26)</f>
        <v>3.4489361702127681</v>
      </c>
      <c r="Y20" s="39" t="s">
        <v>61</v>
      </c>
      <c r="Z20" s="42">
        <f>SUMIF(J2:J26,"x",L2:L26)/SUMIF(J2:J26,"x",F2:F26)</f>
        <v>3.4359999999999999</v>
      </c>
    </row>
    <row r="21" spans="1:26">
      <c r="A21" t="s">
        <v>17</v>
      </c>
      <c r="B21" t="str">
        <f t="shared" si="0"/>
        <v>Sophomore</v>
      </c>
      <c r="C21" t="s">
        <v>98</v>
      </c>
      <c r="E21">
        <v>5</v>
      </c>
      <c r="F21">
        <f t="shared" si="1"/>
        <v>3.3</v>
      </c>
      <c r="G21">
        <v>4</v>
      </c>
      <c r="H21" t="s">
        <v>15</v>
      </c>
      <c r="I21">
        <f t="shared" si="2"/>
        <v>3</v>
      </c>
      <c r="J21" t="s">
        <v>33</v>
      </c>
      <c r="K21" t="b">
        <v>1</v>
      </c>
      <c r="L21">
        <f t="shared" si="3"/>
        <v>9.8999999999999986</v>
      </c>
      <c r="M21">
        <f>SUM($L$2:$L21)</f>
        <v>168.20000000000005</v>
      </c>
      <c r="N21">
        <f>SUM($F$2:$F21)</f>
        <v>49.3</v>
      </c>
      <c r="O21" s="44">
        <f t="shared" si="4"/>
        <v>9.8999999999999986</v>
      </c>
      <c r="P21" s="44">
        <f>SUM($O$2:$O21)</f>
        <v>23.499999999999996</v>
      </c>
      <c r="Q21" s="44">
        <f t="shared" si="5"/>
        <v>3.3</v>
      </c>
      <c r="R21" s="44">
        <f>SUM($Q$2:$Q21)</f>
        <v>7.6</v>
      </c>
      <c r="S21" s="44">
        <f t="shared" si="6"/>
        <v>3.4117647058823541</v>
      </c>
      <c r="T21" s="44">
        <f t="shared" si="7"/>
        <v>3.0921052631578942</v>
      </c>
      <c r="V21" s="33" t="s">
        <v>44</v>
      </c>
      <c r="W21" s="34">
        <f>SUM(L2:L36)/SUM(F2:F36)</f>
        <v>3.4387628865979396</v>
      </c>
      <c r="Y21" s="39" t="s">
        <v>62</v>
      </c>
      <c r="Z21" s="42">
        <f>SUMIF(J2:J36,"x",L2:L36)/SUMIF(J2:J36,"x",F2:F36)</f>
        <v>3.4131443298969057</v>
      </c>
    </row>
    <row r="22" spans="1:26" ht="16" thickBot="1">
      <c r="A22" t="s">
        <v>17</v>
      </c>
      <c r="B22" t="str">
        <f t="shared" si="0"/>
        <v>Sophomore</v>
      </c>
      <c r="C22" t="s">
        <v>99</v>
      </c>
      <c r="E22">
        <v>5</v>
      </c>
      <c r="F22">
        <f t="shared" si="1"/>
        <v>3.3</v>
      </c>
      <c r="G22">
        <v>3.3</v>
      </c>
      <c r="H22" t="s">
        <v>19</v>
      </c>
      <c r="I22">
        <f t="shared" si="2"/>
        <v>3.7</v>
      </c>
      <c r="J22" t="s">
        <v>33</v>
      </c>
      <c r="K22" t="b">
        <v>1</v>
      </c>
      <c r="L22">
        <f t="shared" si="3"/>
        <v>12.209999999999999</v>
      </c>
      <c r="M22">
        <f>SUM($L$2:$L22)</f>
        <v>180.41000000000005</v>
      </c>
      <c r="N22">
        <f>SUM($F$2:$F22)</f>
        <v>52.599999999999994</v>
      </c>
      <c r="O22" s="44">
        <f t="shared" si="4"/>
        <v>12.209999999999999</v>
      </c>
      <c r="P22" s="44">
        <f>SUM($O$2:$O22)</f>
        <v>35.709999999999994</v>
      </c>
      <c r="Q22" s="44">
        <f t="shared" si="5"/>
        <v>3.3</v>
      </c>
      <c r="R22" s="44">
        <f>SUM($Q$2:$Q22)</f>
        <v>10.899999999999999</v>
      </c>
      <c r="S22" s="44">
        <f t="shared" si="6"/>
        <v>3.4298479087452485</v>
      </c>
      <c r="T22" s="44">
        <f t="shared" si="7"/>
        <v>3.2761467889908253</v>
      </c>
      <c r="V22" s="35" t="s">
        <v>45</v>
      </c>
      <c r="W22" s="36">
        <f>IF(E37="",#N/A,SUM(L2:L53)/SUM(F2:F53))</f>
        <v>3.4458375125376146</v>
      </c>
      <c r="Y22" s="40" t="s">
        <v>63</v>
      </c>
      <c r="Z22" s="43">
        <f>IF(E37="",#N/A,SUMIF(J2:J52,"x",L2:L52)/SUMIF(J2:J52,"x",F2:F52))</f>
        <v>3.4318072289156611</v>
      </c>
    </row>
    <row r="23" spans="1:26">
      <c r="A23" t="s">
        <v>17</v>
      </c>
      <c r="B23" t="str">
        <f t="shared" si="0"/>
        <v>Sophomore</v>
      </c>
      <c r="C23" t="s">
        <v>100</v>
      </c>
      <c r="E23">
        <v>5</v>
      </c>
      <c r="F23">
        <f t="shared" si="1"/>
        <v>3.3</v>
      </c>
      <c r="G23">
        <v>4</v>
      </c>
      <c r="H23" t="s">
        <v>19</v>
      </c>
      <c r="I23">
        <f t="shared" si="2"/>
        <v>3.7</v>
      </c>
      <c r="J23" t="s">
        <v>33</v>
      </c>
      <c r="K23" t="b">
        <v>1</v>
      </c>
      <c r="L23">
        <f t="shared" si="3"/>
        <v>12.209999999999999</v>
      </c>
      <c r="M23">
        <f>SUM($L$2:$L23)</f>
        <v>192.62000000000006</v>
      </c>
      <c r="N23">
        <f>SUM($F$2:$F23)</f>
        <v>55.899999999999991</v>
      </c>
      <c r="O23" s="44">
        <f t="shared" si="4"/>
        <v>12.209999999999999</v>
      </c>
      <c r="P23" s="44">
        <f>SUM($O$2:$O23)</f>
        <v>47.919999999999995</v>
      </c>
      <c r="Q23" s="44">
        <f t="shared" si="5"/>
        <v>3.3</v>
      </c>
      <c r="R23" s="44">
        <f>SUM($Q$2:$Q23)</f>
        <v>14.2</v>
      </c>
      <c r="S23" s="44">
        <f t="shared" si="6"/>
        <v>3.4457960644007173</v>
      </c>
      <c r="T23" s="44">
        <f t="shared" si="7"/>
        <v>3.3746478873239436</v>
      </c>
    </row>
    <row r="24" spans="1:26">
      <c r="A24" t="s">
        <v>17</v>
      </c>
      <c r="B24" t="str">
        <f t="shared" si="0"/>
        <v>Sophomore</v>
      </c>
      <c r="C24" t="s">
        <v>101</v>
      </c>
      <c r="E24">
        <v>5</v>
      </c>
      <c r="F24">
        <f t="shared" si="1"/>
        <v>3.3</v>
      </c>
      <c r="G24">
        <v>3.7</v>
      </c>
      <c r="H24" t="s">
        <v>15</v>
      </c>
      <c r="I24">
        <f t="shared" si="2"/>
        <v>3</v>
      </c>
      <c r="K24" t="b">
        <v>1</v>
      </c>
      <c r="L24">
        <f t="shared" si="3"/>
        <v>9.8999999999999986</v>
      </c>
      <c r="M24">
        <f>SUM($L$2:$L24)</f>
        <v>202.52000000000007</v>
      </c>
      <c r="N24">
        <f>SUM($F$2:$F24)</f>
        <v>59.199999999999989</v>
      </c>
      <c r="O24" s="44">
        <f t="shared" si="4"/>
        <v>0</v>
      </c>
      <c r="P24" s="44">
        <f>SUM($O$2:$O24)</f>
        <v>47.919999999999995</v>
      </c>
      <c r="Q24" s="44">
        <f t="shared" si="5"/>
        <v>0</v>
      </c>
      <c r="R24" s="44">
        <f>SUM($Q$2:$Q24)</f>
        <v>14.2</v>
      </c>
      <c r="S24" s="44">
        <f t="shared" si="6"/>
        <v>3.4209459459459479</v>
      </c>
      <c r="T24" s="44">
        <f t="shared" si="7"/>
        <v>3.3746478873239436</v>
      </c>
    </row>
    <row r="25" spans="1:26">
      <c r="A25" t="s">
        <v>17</v>
      </c>
      <c r="B25" t="str">
        <f t="shared" si="0"/>
        <v>Junior</v>
      </c>
      <c r="C25" t="s">
        <v>102</v>
      </c>
      <c r="E25">
        <v>5</v>
      </c>
      <c r="F25">
        <f t="shared" si="1"/>
        <v>3.3</v>
      </c>
      <c r="G25">
        <v>3.9</v>
      </c>
      <c r="H25" t="s">
        <v>19</v>
      </c>
      <c r="I25">
        <f t="shared" si="2"/>
        <v>3.7</v>
      </c>
      <c r="K25" t="b">
        <v>1</v>
      </c>
      <c r="L25">
        <f t="shared" si="3"/>
        <v>12.209999999999999</v>
      </c>
      <c r="M25">
        <f>SUM($L$2:$L25)</f>
        <v>214.73000000000008</v>
      </c>
      <c r="N25">
        <f>SUM($F$2:$F25)</f>
        <v>62.499999999999986</v>
      </c>
      <c r="O25" s="44">
        <f t="shared" si="4"/>
        <v>0</v>
      </c>
      <c r="P25" s="44">
        <f>SUM($O$2:$O25)</f>
        <v>47.919999999999995</v>
      </c>
      <c r="Q25" s="44">
        <f t="shared" si="5"/>
        <v>0</v>
      </c>
      <c r="R25" s="44">
        <f>SUM($Q$2:$Q25)</f>
        <v>14.2</v>
      </c>
      <c r="S25" s="44">
        <f t="shared" si="6"/>
        <v>3.4356800000000018</v>
      </c>
      <c r="T25" s="44">
        <f t="shared" si="7"/>
        <v>3.3746478873239436</v>
      </c>
    </row>
    <row r="26" spans="1:26">
      <c r="A26" t="s">
        <v>17</v>
      </c>
      <c r="B26" t="str">
        <f t="shared" si="0"/>
        <v>Junior</v>
      </c>
      <c r="C26" t="s">
        <v>103</v>
      </c>
      <c r="E26">
        <v>5</v>
      </c>
      <c r="F26">
        <f t="shared" si="1"/>
        <v>3.3</v>
      </c>
      <c r="G26">
        <v>4</v>
      </c>
      <c r="H26" t="s">
        <v>19</v>
      </c>
      <c r="I26">
        <f t="shared" si="2"/>
        <v>3.7</v>
      </c>
      <c r="J26" t="s">
        <v>33</v>
      </c>
      <c r="K26" t="b">
        <v>1</v>
      </c>
      <c r="L26">
        <f t="shared" si="3"/>
        <v>12.209999999999999</v>
      </c>
      <c r="M26">
        <f>SUM($L$2:$L26)</f>
        <v>226.94000000000008</v>
      </c>
      <c r="N26">
        <f>SUM($F$2:$F26)</f>
        <v>65.799999999999983</v>
      </c>
      <c r="O26" s="44">
        <f t="shared" si="4"/>
        <v>12.209999999999999</v>
      </c>
      <c r="P26" s="44">
        <f>SUM($O$2:$O26)</f>
        <v>60.129999999999995</v>
      </c>
      <c r="Q26" s="44">
        <f t="shared" si="5"/>
        <v>3.3</v>
      </c>
      <c r="R26" s="44">
        <f>SUM($Q$2:$Q26)</f>
        <v>17.5</v>
      </c>
      <c r="S26" s="44">
        <f t="shared" si="6"/>
        <v>3.4489361702127681</v>
      </c>
      <c r="T26" s="44">
        <f t="shared" si="7"/>
        <v>3.4359999999999999</v>
      </c>
    </row>
    <row r="27" spans="1:26">
      <c r="A27" t="s">
        <v>17</v>
      </c>
      <c r="B27" t="str">
        <f t="shared" si="0"/>
        <v>Junior</v>
      </c>
      <c r="C27" t="s">
        <v>104</v>
      </c>
      <c r="E27">
        <v>5</v>
      </c>
      <c r="F27">
        <f t="shared" si="1"/>
        <v>3.3</v>
      </c>
      <c r="G27">
        <v>3.8</v>
      </c>
      <c r="H27" t="s">
        <v>15</v>
      </c>
      <c r="I27">
        <f t="shared" si="2"/>
        <v>3</v>
      </c>
      <c r="K27" t="b">
        <v>1</v>
      </c>
      <c r="L27">
        <f t="shared" si="3"/>
        <v>9.8999999999999986</v>
      </c>
      <c r="M27">
        <f>SUM($L$2:$L27)</f>
        <v>236.84000000000009</v>
      </c>
      <c r="N27">
        <f>SUM($F$2:$F27)</f>
        <v>69.09999999999998</v>
      </c>
      <c r="O27" s="44">
        <f t="shared" si="4"/>
        <v>0</v>
      </c>
      <c r="P27" s="44">
        <f>SUM($O$2:$O27)</f>
        <v>60.129999999999995</v>
      </c>
      <c r="Q27" s="44">
        <f t="shared" si="5"/>
        <v>0</v>
      </c>
      <c r="R27" s="44">
        <f>SUM($Q$2:$Q27)</f>
        <v>17.5</v>
      </c>
      <c r="S27" s="44">
        <f t="shared" si="6"/>
        <v>3.4274963820549949</v>
      </c>
      <c r="T27" s="44">
        <f t="shared" si="7"/>
        <v>3.4359999999999999</v>
      </c>
    </row>
    <row r="28" spans="1:26">
      <c r="A28" t="s">
        <v>17</v>
      </c>
      <c r="B28" t="str">
        <f t="shared" si="0"/>
        <v>Junior</v>
      </c>
      <c r="C28" t="s">
        <v>105</v>
      </c>
      <c r="E28">
        <v>5</v>
      </c>
      <c r="F28">
        <f t="shared" si="1"/>
        <v>3.3</v>
      </c>
      <c r="G28">
        <v>3.5</v>
      </c>
      <c r="H28" t="s">
        <v>19</v>
      </c>
      <c r="I28">
        <f t="shared" si="2"/>
        <v>3.7</v>
      </c>
      <c r="J28" t="s">
        <v>33</v>
      </c>
      <c r="K28" t="b">
        <v>1</v>
      </c>
      <c r="L28">
        <f t="shared" si="3"/>
        <v>12.209999999999999</v>
      </c>
      <c r="M28">
        <f>SUM($L$2:$L28)</f>
        <v>249.0500000000001</v>
      </c>
      <c r="N28">
        <f>SUM($F$2:$F28)</f>
        <v>72.399999999999977</v>
      </c>
      <c r="O28" s="44">
        <f t="shared" si="4"/>
        <v>12.209999999999999</v>
      </c>
      <c r="P28" s="44">
        <f>SUM($O$2:$O28)</f>
        <v>72.339999999999989</v>
      </c>
      <c r="Q28" s="44">
        <f t="shared" si="5"/>
        <v>3.3</v>
      </c>
      <c r="R28" s="44">
        <f>SUM($Q$2:$Q28)</f>
        <v>20.8</v>
      </c>
      <c r="S28" s="44">
        <f t="shared" si="6"/>
        <v>3.4399171270718254</v>
      </c>
      <c r="T28" s="44">
        <f t="shared" si="7"/>
        <v>3.4778846153846148</v>
      </c>
    </row>
    <row r="29" spans="1:26">
      <c r="A29" t="s">
        <v>17</v>
      </c>
      <c r="B29" t="str">
        <f t="shared" si="0"/>
        <v>Junior</v>
      </c>
      <c r="C29" t="s">
        <v>106</v>
      </c>
      <c r="E29">
        <v>5</v>
      </c>
      <c r="F29">
        <f t="shared" si="1"/>
        <v>3.3</v>
      </c>
      <c r="G29">
        <v>4</v>
      </c>
      <c r="H29" t="s">
        <v>19</v>
      </c>
      <c r="I29">
        <f t="shared" si="2"/>
        <v>3.7</v>
      </c>
      <c r="K29" t="b">
        <v>1</v>
      </c>
      <c r="L29">
        <f t="shared" si="3"/>
        <v>12.209999999999999</v>
      </c>
      <c r="M29">
        <f>SUM($L$2:$L29)</f>
        <v>261.2600000000001</v>
      </c>
      <c r="N29">
        <f>SUM($F$2:$F29)</f>
        <v>75.699999999999974</v>
      </c>
      <c r="O29" s="44">
        <f t="shared" si="4"/>
        <v>0</v>
      </c>
      <c r="P29" s="44">
        <f>SUM($O$2:$O29)</f>
        <v>72.339999999999989</v>
      </c>
      <c r="Q29" s="44">
        <f t="shared" si="5"/>
        <v>0</v>
      </c>
      <c r="R29" s="44">
        <f>SUM($Q$2:$Q29)</f>
        <v>20.8</v>
      </c>
      <c r="S29" s="44">
        <f t="shared" si="6"/>
        <v>3.451254953764864</v>
      </c>
      <c r="T29" s="44">
        <f t="shared" si="7"/>
        <v>3.4778846153846148</v>
      </c>
    </row>
    <row r="30" spans="1:26">
      <c r="A30" t="s">
        <v>18</v>
      </c>
      <c r="B30" t="str">
        <f t="shared" si="0"/>
        <v>Junior</v>
      </c>
      <c r="C30" t="s">
        <v>107</v>
      </c>
      <c r="E30">
        <v>5</v>
      </c>
      <c r="F30">
        <f t="shared" si="1"/>
        <v>3.3</v>
      </c>
      <c r="G30">
        <v>3.9</v>
      </c>
      <c r="H30" t="s">
        <v>15</v>
      </c>
      <c r="I30">
        <f t="shared" si="2"/>
        <v>3</v>
      </c>
      <c r="J30" t="s">
        <v>33</v>
      </c>
      <c r="K30" t="b">
        <v>1</v>
      </c>
      <c r="L30">
        <f t="shared" si="3"/>
        <v>9.8999999999999986</v>
      </c>
      <c r="M30">
        <f>SUM($L$2:$L30)</f>
        <v>271.16000000000008</v>
      </c>
      <c r="N30">
        <f>SUM($F$2:$F30)</f>
        <v>78.999999999999972</v>
      </c>
      <c r="O30" s="44">
        <f t="shared" si="4"/>
        <v>9.8999999999999986</v>
      </c>
      <c r="P30" s="44">
        <f>SUM($O$2:$O30)</f>
        <v>82.239999999999981</v>
      </c>
      <c r="Q30" s="44">
        <f t="shared" si="5"/>
        <v>3.3</v>
      </c>
      <c r="R30" s="44">
        <f>SUM($Q$2:$Q30)</f>
        <v>24.1</v>
      </c>
      <c r="S30" s="44">
        <f t="shared" si="6"/>
        <v>3.4324050632911414</v>
      </c>
      <c r="T30" s="44">
        <f t="shared" si="7"/>
        <v>3.412448132780082</v>
      </c>
    </row>
    <row r="31" spans="1:26">
      <c r="A31" t="s">
        <v>18</v>
      </c>
      <c r="B31" t="str">
        <f t="shared" si="0"/>
        <v>Junior</v>
      </c>
      <c r="C31" t="s">
        <v>108</v>
      </c>
      <c r="E31">
        <v>5</v>
      </c>
      <c r="F31">
        <f t="shared" si="1"/>
        <v>3.3</v>
      </c>
      <c r="G31">
        <v>3.6</v>
      </c>
      <c r="H31" t="s">
        <v>19</v>
      </c>
      <c r="I31">
        <f t="shared" si="2"/>
        <v>3.7</v>
      </c>
      <c r="J31" t="s">
        <v>33</v>
      </c>
      <c r="K31" t="b">
        <v>1</v>
      </c>
      <c r="L31">
        <f t="shared" si="3"/>
        <v>12.209999999999999</v>
      </c>
      <c r="M31">
        <f>SUM($L$2:$L31)</f>
        <v>283.37000000000006</v>
      </c>
      <c r="N31">
        <f>SUM($F$2:$F31)</f>
        <v>82.299999999999969</v>
      </c>
      <c r="O31" s="44">
        <f t="shared" si="4"/>
        <v>12.209999999999999</v>
      </c>
      <c r="P31" s="44">
        <f>SUM($O$2:$O31)</f>
        <v>94.449999999999974</v>
      </c>
      <c r="Q31" s="44">
        <f t="shared" si="5"/>
        <v>3.3</v>
      </c>
      <c r="R31" s="44">
        <f>SUM($Q$2:$Q31)</f>
        <v>27.400000000000002</v>
      </c>
      <c r="S31" s="44">
        <f t="shared" si="6"/>
        <v>3.4431348724179851</v>
      </c>
      <c r="T31" s="44">
        <f t="shared" si="7"/>
        <v>3.4470802919708019</v>
      </c>
    </row>
    <row r="32" spans="1:26">
      <c r="A32" t="s">
        <v>18</v>
      </c>
      <c r="B32" t="str">
        <f t="shared" si="0"/>
        <v>Junior</v>
      </c>
      <c r="C32" t="s">
        <v>109</v>
      </c>
      <c r="E32">
        <v>5</v>
      </c>
      <c r="F32">
        <f t="shared" si="1"/>
        <v>3.3</v>
      </c>
      <c r="G32">
        <v>4</v>
      </c>
      <c r="H32" t="s">
        <v>19</v>
      </c>
      <c r="I32">
        <f t="shared" si="2"/>
        <v>3.7</v>
      </c>
      <c r="K32" t="b">
        <v>1</v>
      </c>
      <c r="L32">
        <f t="shared" si="3"/>
        <v>12.209999999999999</v>
      </c>
      <c r="M32">
        <f>SUM($L$2:$L32)</f>
        <v>295.58000000000004</v>
      </c>
      <c r="N32">
        <f>SUM($F$2:$F32)</f>
        <v>85.599999999999966</v>
      </c>
      <c r="O32" s="44">
        <f t="shared" si="4"/>
        <v>0</v>
      </c>
      <c r="P32" s="44">
        <f>SUM($O$2:$O32)</f>
        <v>94.449999999999974</v>
      </c>
      <c r="Q32" s="44">
        <f t="shared" si="5"/>
        <v>0</v>
      </c>
      <c r="R32" s="44">
        <f>SUM($Q$2:$Q32)</f>
        <v>27.400000000000002</v>
      </c>
      <c r="S32" s="44">
        <f t="shared" si="6"/>
        <v>3.453037383177572</v>
      </c>
      <c r="T32" s="44">
        <f t="shared" si="7"/>
        <v>3.4470802919708019</v>
      </c>
    </row>
    <row r="33" spans="1:20">
      <c r="A33" t="s">
        <v>18</v>
      </c>
      <c r="B33" t="str">
        <f t="shared" si="0"/>
        <v>Junior</v>
      </c>
      <c r="C33" t="s">
        <v>110</v>
      </c>
      <c r="E33">
        <v>5</v>
      </c>
      <c r="F33">
        <f t="shared" si="1"/>
        <v>3.3</v>
      </c>
      <c r="G33">
        <v>3.7</v>
      </c>
      <c r="H33" t="s">
        <v>15</v>
      </c>
      <c r="I33">
        <f t="shared" si="2"/>
        <v>3</v>
      </c>
      <c r="J33" t="s">
        <v>33</v>
      </c>
      <c r="K33" t="b">
        <v>1</v>
      </c>
      <c r="L33">
        <f t="shared" si="3"/>
        <v>9.8999999999999986</v>
      </c>
      <c r="M33">
        <f>SUM($L$2:$L33)</f>
        <v>305.48</v>
      </c>
      <c r="N33">
        <f>SUM($F$2:$F33)</f>
        <v>88.899999999999963</v>
      </c>
      <c r="O33" s="44">
        <f t="shared" si="4"/>
        <v>9.8999999999999986</v>
      </c>
      <c r="P33" s="44">
        <f>SUM($O$2:$O33)</f>
        <v>104.34999999999997</v>
      </c>
      <c r="Q33" s="44">
        <f t="shared" si="5"/>
        <v>3.3</v>
      </c>
      <c r="R33" s="44">
        <f>SUM($Q$2:$Q33)</f>
        <v>30.700000000000003</v>
      </c>
      <c r="S33" s="44">
        <f t="shared" si="6"/>
        <v>3.4362204724409464</v>
      </c>
      <c r="T33" s="44">
        <f t="shared" si="7"/>
        <v>3.3990228013029302</v>
      </c>
    </row>
    <row r="34" spans="1:20">
      <c r="A34" t="s">
        <v>18</v>
      </c>
      <c r="B34" t="str">
        <f t="shared" si="0"/>
        <v>Senior</v>
      </c>
      <c r="C34" t="s">
        <v>111</v>
      </c>
      <c r="E34">
        <v>4</v>
      </c>
      <c r="F34">
        <f t="shared" si="1"/>
        <v>2.7</v>
      </c>
      <c r="G34">
        <v>3.7</v>
      </c>
      <c r="H34" t="s">
        <v>19</v>
      </c>
      <c r="I34">
        <f t="shared" si="2"/>
        <v>3.7</v>
      </c>
      <c r="J34" t="s">
        <v>33</v>
      </c>
      <c r="K34" t="b">
        <v>1</v>
      </c>
      <c r="L34">
        <f t="shared" si="3"/>
        <v>9.990000000000002</v>
      </c>
      <c r="M34">
        <f>SUM($L$2:$L34)</f>
        <v>315.47000000000003</v>
      </c>
      <c r="N34">
        <f>SUM($F$2:$F34)</f>
        <v>91.599999999999966</v>
      </c>
      <c r="O34" s="44">
        <f t="shared" si="4"/>
        <v>9.990000000000002</v>
      </c>
      <c r="P34" s="44">
        <f>SUM($O$2:$O34)</f>
        <v>114.33999999999997</v>
      </c>
      <c r="Q34" s="44">
        <f t="shared" si="5"/>
        <v>2.7</v>
      </c>
      <c r="R34" s="44">
        <f>SUM($Q$2:$Q34)</f>
        <v>33.400000000000006</v>
      </c>
      <c r="S34" s="44">
        <f t="shared" si="6"/>
        <v>3.4439956331877744</v>
      </c>
      <c r="T34" s="44">
        <f t="shared" si="7"/>
        <v>3.4233532934131725</v>
      </c>
    </row>
    <row r="35" spans="1:20">
      <c r="A35" t="s">
        <v>18</v>
      </c>
      <c r="B35" t="str">
        <f t="shared" si="0"/>
        <v>Senior</v>
      </c>
      <c r="C35" t="s">
        <v>112</v>
      </c>
      <c r="E35">
        <v>4</v>
      </c>
      <c r="F35">
        <f t="shared" si="1"/>
        <v>2.7</v>
      </c>
      <c r="G35">
        <v>3.7</v>
      </c>
      <c r="H35" t="s">
        <v>19</v>
      </c>
      <c r="I35">
        <f t="shared" si="2"/>
        <v>3.7</v>
      </c>
      <c r="J35" t="s">
        <v>33</v>
      </c>
      <c r="K35" t="b">
        <v>1</v>
      </c>
      <c r="L35">
        <f t="shared" si="3"/>
        <v>9.990000000000002</v>
      </c>
      <c r="M35">
        <f>SUM($L$2:$L35)</f>
        <v>325.46000000000004</v>
      </c>
      <c r="N35">
        <f>SUM($F$2:$F35)</f>
        <v>94.299999999999969</v>
      </c>
      <c r="O35" s="44">
        <f t="shared" si="4"/>
        <v>9.990000000000002</v>
      </c>
      <c r="P35" s="44">
        <f>SUM($O$2:$O35)</f>
        <v>124.32999999999998</v>
      </c>
      <c r="Q35" s="44">
        <f t="shared" si="5"/>
        <v>2.7</v>
      </c>
      <c r="R35" s="44">
        <f>SUM($Q$2:$Q35)</f>
        <v>36.100000000000009</v>
      </c>
      <c r="S35" s="44">
        <f t="shared" si="6"/>
        <v>3.4513255567338299</v>
      </c>
      <c r="T35" s="44">
        <f t="shared" si="7"/>
        <v>3.4440443213296388</v>
      </c>
    </row>
    <row r="36" spans="1:20">
      <c r="A36" t="s">
        <v>18</v>
      </c>
      <c r="B36" t="str">
        <f t="shared" si="0"/>
        <v>Senior</v>
      </c>
      <c r="C36" t="s">
        <v>113</v>
      </c>
      <c r="E36">
        <v>4</v>
      </c>
      <c r="F36">
        <f t="shared" si="1"/>
        <v>2.7</v>
      </c>
      <c r="G36">
        <v>3.5</v>
      </c>
      <c r="H36" t="s">
        <v>15</v>
      </c>
      <c r="I36">
        <f t="shared" si="2"/>
        <v>3</v>
      </c>
      <c r="J36" t="s">
        <v>33</v>
      </c>
      <c r="K36" t="b">
        <v>1</v>
      </c>
      <c r="L36">
        <f t="shared" si="3"/>
        <v>8.1000000000000014</v>
      </c>
      <c r="M36">
        <f>SUM($L$2:$L36)</f>
        <v>333.56000000000006</v>
      </c>
      <c r="N36">
        <f>SUM($F$2:$F36)</f>
        <v>96.999999999999972</v>
      </c>
      <c r="O36" s="44">
        <f t="shared" si="4"/>
        <v>8.1000000000000014</v>
      </c>
      <c r="P36" s="44">
        <f>SUM($O$2:$O36)</f>
        <v>132.42999999999998</v>
      </c>
      <c r="Q36" s="44">
        <f t="shared" si="5"/>
        <v>2.7</v>
      </c>
      <c r="R36" s="44">
        <f>SUM($Q$2:$Q36)</f>
        <v>38.800000000000011</v>
      </c>
      <c r="S36" s="44">
        <f t="shared" si="6"/>
        <v>3.4387628865979396</v>
      </c>
      <c r="T36" s="44">
        <f t="shared" si="7"/>
        <v>3.4131443298969057</v>
      </c>
    </row>
    <row r="37" spans="1:20">
      <c r="A37" t="s">
        <v>18</v>
      </c>
      <c r="B37" t="str">
        <f t="shared" si="0"/>
        <v>Senior</v>
      </c>
      <c r="C37" t="s">
        <v>114</v>
      </c>
      <c r="E37">
        <v>4</v>
      </c>
      <c r="F37">
        <f t="shared" si="1"/>
        <v>2.7</v>
      </c>
      <c r="G37">
        <v>3.7</v>
      </c>
      <c r="H37" t="s">
        <v>19</v>
      </c>
      <c r="I37">
        <f t="shared" si="2"/>
        <v>3.7</v>
      </c>
      <c r="J37" t="s">
        <v>33</v>
      </c>
      <c r="K37" t="b">
        <v>1</v>
      </c>
      <c r="L37">
        <f t="shared" si="3"/>
        <v>9.990000000000002</v>
      </c>
      <c r="M37">
        <f>SUM($L$2:$L37)</f>
        <v>343.55000000000007</v>
      </c>
      <c r="N37">
        <f>SUM($F$2:$F37)</f>
        <v>99.699999999999974</v>
      </c>
      <c r="O37" s="44">
        <f t="shared" si="4"/>
        <v>9.990000000000002</v>
      </c>
      <c r="P37" s="44">
        <f>SUM($O$2:$O37)</f>
        <v>142.41999999999999</v>
      </c>
      <c r="Q37" s="44">
        <f t="shared" si="5"/>
        <v>2.7</v>
      </c>
      <c r="R37" s="44">
        <f>SUM($Q$2:$Q37)</f>
        <v>41.500000000000014</v>
      </c>
      <c r="S37" s="44">
        <f t="shared" si="6"/>
        <v>3.4458375125376146</v>
      </c>
      <c r="T37" s="44">
        <f t="shared" si="7"/>
        <v>3.4318072289156611</v>
      </c>
    </row>
    <row r="38" spans="1:20">
      <c r="A38" t="s">
        <v>18</v>
      </c>
      <c r="B38" t="str">
        <f t="shared" si="0"/>
        <v>Senior</v>
      </c>
      <c r="F38">
        <f t="shared" si="1"/>
        <v>0</v>
      </c>
      <c r="K38" t="b">
        <v>1</v>
      </c>
      <c r="L38">
        <f t="shared" si="3"/>
        <v>0</v>
      </c>
      <c r="M38">
        <f>SUM($L$2:$L38)</f>
        <v>343.55000000000007</v>
      </c>
      <c r="N38">
        <f>SUM($F$2:$F38)</f>
        <v>99.699999999999974</v>
      </c>
      <c r="O38" s="44">
        <f t="shared" si="4"/>
        <v>0</v>
      </c>
      <c r="P38" s="44">
        <f>SUM($O$2:$O38)</f>
        <v>142.41999999999999</v>
      </c>
      <c r="Q38" s="44">
        <f t="shared" si="5"/>
        <v>0</v>
      </c>
      <c r="R38" s="44">
        <f>SUM($Q$2:$Q38)</f>
        <v>41.500000000000014</v>
      </c>
      <c r="S38" s="44">
        <f t="shared" si="6"/>
        <v>3.4458375125376146</v>
      </c>
      <c r="T38" s="44">
        <f t="shared" si="7"/>
        <v>3.4318072289156611</v>
      </c>
    </row>
    <row r="39" spans="1:20">
      <c r="A39" t="s">
        <v>18</v>
      </c>
      <c r="B39" t="str">
        <f t="shared" si="0"/>
        <v>Senior</v>
      </c>
      <c r="F39">
        <f t="shared" si="1"/>
        <v>0</v>
      </c>
      <c r="K39" t="b">
        <v>1</v>
      </c>
      <c r="L39">
        <f t="shared" si="3"/>
        <v>0</v>
      </c>
      <c r="M39">
        <f>SUM($L$2:$L39)</f>
        <v>343.55000000000007</v>
      </c>
      <c r="N39">
        <f>SUM($F$2:$F39)</f>
        <v>99.699999999999974</v>
      </c>
      <c r="O39" s="44">
        <f t="shared" si="4"/>
        <v>0</v>
      </c>
      <c r="P39" s="44">
        <f>SUM($O$2:$O39)</f>
        <v>142.41999999999999</v>
      </c>
      <c r="Q39" s="44">
        <f t="shared" si="5"/>
        <v>0</v>
      </c>
      <c r="R39" s="44">
        <f>SUM($Q$2:$Q39)</f>
        <v>41.500000000000014</v>
      </c>
      <c r="S39" s="44">
        <f t="shared" si="6"/>
        <v>3.4458375125376146</v>
      </c>
      <c r="T39" s="44">
        <f t="shared" si="7"/>
        <v>3.4318072289156611</v>
      </c>
    </row>
    <row r="40" spans="1:20">
      <c r="A40" t="s">
        <v>18</v>
      </c>
      <c r="B40" t="str">
        <f t="shared" si="0"/>
        <v>Senior</v>
      </c>
      <c r="F40">
        <f t="shared" si="1"/>
        <v>0</v>
      </c>
      <c r="K40" t="b">
        <v>1</v>
      </c>
      <c r="L40">
        <f t="shared" si="3"/>
        <v>0</v>
      </c>
      <c r="M40">
        <f>SUM($L$2:$L40)</f>
        <v>343.55000000000007</v>
      </c>
      <c r="N40">
        <f>SUM($F$2:$F40)</f>
        <v>99.699999999999974</v>
      </c>
      <c r="O40" s="44">
        <f t="shared" si="4"/>
        <v>0</v>
      </c>
      <c r="P40" s="44">
        <f>SUM($O$2:$O40)</f>
        <v>142.41999999999999</v>
      </c>
      <c r="Q40" s="44">
        <f t="shared" si="5"/>
        <v>0</v>
      </c>
      <c r="R40" s="44">
        <f>SUM($Q$2:$Q40)</f>
        <v>41.500000000000014</v>
      </c>
      <c r="S40" s="44">
        <f t="shared" si="6"/>
        <v>3.4458375125376146</v>
      </c>
      <c r="T40" s="44">
        <f t="shared" si="7"/>
        <v>3.4318072289156611</v>
      </c>
    </row>
    <row r="41" spans="1:20">
      <c r="A41" t="s">
        <v>18</v>
      </c>
      <c r="B41" t="str">
        <f t="shared" si="0"/>
        <v>Senior</v>
      </c>
      <c r="F41">
        <f t="shared" si="1"/>
        <v>0</v>
      </c>
      <c r="K41" t="b">
        <v>1</v>
      </c>
      <c r="L41">
        <f t="shared" si="3"/>
        <v>0</v>
      </c>
      <c r="M41">
        <f>SUM($L$2:$L41)</f>
        <v>343.55000000000007</v>
      </c>
      <c r="N41">
        <f>SUM($F$2:$F41)</f>
        <v>99.699999999999974</v>
      </c>
      <c r="O41" s="44">
        <f t="shared" si="4"/>
        <v>0</v>
      </c>
      <c r="P41" s="44">
        <f>SUM($O$2:$O41)</f>
        <v>142.41999999999999</v>
      </c>
      <c r="Q41" s="44">
        <f t="shared" si="5"/>
        <v>0</v>
      </c>
      <c r="R41" s="44">
        <f>SUM($Q$2:$Q41)</f>
        <v>41.500000000000014</v>
      </c>
      <c r="S41" s="44">
        <f t="shared" si="6"/>
        <v>3.4458375125376146</v>
      </c>
      <c r="T41" s="44">
        <f t="shared" si="7"/>
        <v>3.4318072289156611</v>
      </c>
    </row>
    <row r="42" spans="1:20">
      <c r="A42" t="s">
        <v>18</v>
      </c>
      <c r="B42" t="str">
        <f t="shared" si="0"/>
        <v>Senior</v>
      </c>
      <c r="F42">
        <f t="shared" si="1"/>
        <v>0</v>
      </c>
      <c r="K42" t="b">
        <v>1</v>
      </c>
      <c r="L42">
        <f t="shared" si="3"/>
        <v>0</v>
      </c>
      <c r="M42">
        <f>SUM($L$2:$L42)</f>
        <v>343.55000000000007</v>
      </c>
      <c r="N42">
        <f>SUM($F$2:$F42)</f>
        <v>99.699999999999974</v>
      </c>
      <c r="O42" s="44">
        <f t="shared" si="4"/>
        <v>0</v>
      </c>
      <c r="P42" s="44">
        <f>SUM($O$2:$O42)</f>
        <v>142.41999999999999</v>
      </c>
      <c r="Q42" s="44">
        <f t="shared" si="5"/>
        <v>0</v>
      </c>
      <c r="R42" s="44">
        <f>SUM($Q$2:$Q42)</f>
        <v>41.500000000000014</v>
      </c>
      <c r="S42" s="44">
        <f t="shared" si="6"/>
        <v>3.4458375125376146</v>
      </c>
      <c r="T42" s="44">
        <f t="shared" si="7"/>
        <v>3.4318072289156611</v>
      </c>
    </row>
    <row r="43" spans="1:20">
      <c r="A43" t="s">
        <v>18</v>
      </c>
      <c r="B43" t="str">
        <f t="shared" si="0"/>
        <v>Senior</v>
      </c>
      <c r="F43">
        <f t="shared" si="1"/>
        <v>0</v>
      </c>
      <c r="K43" t="b">
        <v>1</v>
      </c>
      <c r="L43">
        <f t="shared" si="3"/>
        <v>0</v>
      </c>
      <c r="M43">
        <f>SUM($L$2:$L43)</f>
        <v>343.55000000000007</v>
      </c>
      <c r="N43">
        <f>SUM($F$2:$F43)</f>
        <v>99.699999999999974</v>
      </c>
      <c r="O43" s="44">
        <f t="shared" si="4"/>
        <v>0</v>
      </c>
      <c r="P43" s="44">
        <f>SUM($O$2:$O43)</f>
        <v>142.41999999999999</v>
      </c>
      <c r="Q43" s="44">
        <f t="shared" si="5"/>
        <v>0</v>
      </c>
      <c r="R43" s="44">
        <f>SUM($Q$2:$Q43)</f>
        <v>41.500000000000014</v>
      </c>
      <c r="S43" s="44">
        <f t="shared" si="6"/>
        <v>3.4458375125376146</v>
      </c>
      <c r="T43" s="44">
        <f t="shared" si="7"/>
        <v>3.4318072289156611</v>
      </c>
    </row>
    <row r="44" spans="1:20">
      <c r="A44" t="s">
        <v>18</v>
      </c>
      <c r="B44" t="str">
        <f t="shared" si="0"/>
        <v>Senior</v>
      </c>
      <c r="F44">
        <f t="shared" si="1"/>
        <v>0</v>
      </c>
      <c r="K44" t="b">
        <v>1</v>
      </c>
      <c r="L44">
        <f t="shared" si="3"/>
        <v>0</v>
      </c>
      <c r="M44">
        <f>SUM($L$2:$L44)</f>
        <v>343.55000000000007</v>
      </c>
      <c r="N44">
        <f>SUM($F$2:$F44)</f>
        <v>99.699999999999974</v>
      </c>
      <c r="O44" s="44">
        <f t="shared" si="4"/>
        <v>0</v>
      </c>
      <c r="P44" s="44">
        <f>SUM($O$2:$O44)</f>
        <v>142.41999999999999</v>
      </c>
      <c r="Q44" s="44">
        <f t="shared" si="5"/>
        <v>0</v>
      </c>
      <c r="R44" s="44">
        <f>SUM($Q$2:$Q44)</f>
        <v>41.500000000000014</v>
      </c>
      <c r="S44" s="44">
        <f t="shared" si="6"/>
        <v>3.4458375125376146</v>
      </c>
      <c r="T44" s="44">
        <f t="shared" si="7"/>
        <v>3.4318072289156611</v>
      </c>
    </row>
    <row r="45" spans="1:20">
      <c r="A45" t="s">
        <v>18</v>
      </c>
      <c r="B45" t="str">
        <f t="shared" si="0"/>
        <v>Senior</v>
      </c>
      <c r="F45">
        <f t="shared" si="1"/>
        <v>0</v>
      </c>
      <c r="K45" t="b">
        <v>1</v>
      </c>
      <c r="L45">
        <f t="shared" si="3"/>
        <v>0</v>
      </c>
      <c r="M45">
        <f>SUM($L$2:$L45)</f>
        <v>343.55000000000007</v>
      </c>
      <c r="N45">
        <f>SUM($F$2:$F45)</f>
        <v>99.699999999999974</v>
      </c>
      <c r="O45" s="44">
        <f t="shared" si="4"/>
        <v>0</v>
      </c>
      <c r="P45" s="44">
        <f>SUM($O$2:$O45)</f>
        <v>142.41999999999999</v>
      </c>
      <c r="Q45" s="44">
        <f t="shared" si="5"/>
        <v>0</v>
      </c>
      <c r="R45" s="44">
        <f>SUM($Q$2:$Q45)</f>
        <v>41.500000000000014</v>
      </c>
      <c r="S45" s="44">
        <f t="shared" si="6"/>
        <v>3.4458375125376146</v>
      </c>
      <c r="T45" s="44">
        <f t="shared" si="7"/>
        <v>3.4318072289156611</v>
      </c>
    </row>
    <row r="46" spans="1:20">
      <c r="A46" t="s">
        <v>18</v>
      </c>
      <c r="B46" t="str">
        <f t="shared" si="0"/>
        <v>Senior</v>
      </c>
      <c r="F46">
        <f t="shared" si="1"/>
        <v>0</v>
      </c>
      <c r="K46" t="b">
        <v>1</v>
      </c>
      <c r="L46">
        <f t="shared" si="3"/>
        <v>0</v>
      </c>
      <c r="M46">
        <f>SUM($L$2:$L46)</f>
        <v>343.55000000000007</v>
      </c>
      <c r="N46">
        <f>SUM($F$2:$F46)</f>
        <v>99.699999999999974</v>
      </c>
      <c r="O46" s="44">
        <f t="shared" si="4"/>
        <v>0</v>
      </c>
      <c r="P46" s="44">
        <f>SUM($O$2:$O46)</f>
        <v>142.41999999999999</v>
      </c>
      <c r="Q46" s="44">
        <f t="shared" si="5"/>
        <v>0</v>
      </c>
      <c r="R46" s="44">
        <f>SUM($Q$2:$Q46)</f>
        <v>41.500000000000014</v>
      </c>
      <c r="S46" s="44">
        <f t="shared" si="6"/>
        <v>3.4458375125376146</v>
      </c>
      <c r="T46" s="44">
        <f t="shared" si="7"/>
        <v>3.4318072289156611</v>
      </c>
    </row>
    <row r="47" spans="1:20">
      <c r="A47" t="s">
        <v>18</v>
      </c>
      <c r="B47" t="str">
        <f t="shared" si="0"/>
        <v>Senior</v>
      </c>
      <c r="F47">
        <f t="shared" si="1"/>
        <v>0</v>
      </c>
      <c r="K47" t="b">
        <v>1</v>
      </c>
      <c r="L47">
        <f t="shared" si="3"/>
        <v>0</v>
      </c>
      <c r="M47">
        <f>SUM($L$2:$L47)</f>
        <v>343.55000000000007</v>
      </c>
      <c r="N47">
        <f>SUM($F$2:$F47)</f>
        <v>99.699999999999974</v>
      </c>
      <c r="O47" s="44">
        <f t="shared" si="4"/>
        <v>0</v>
      </c>
      <c r="P47" s="44">
        <f>SUM($O$2:$O47)</f>
        <v>142.41999999999999</v>
      </c>
      <c r="Q47" s="44">
        <f t="shared" si="5"/>
        <v>0</v>
      </c>
      <c r="R47" s="44">
        <f>SUM($Q$2:$Q47)</f>
        <v>41.500000000000014</v>
      </c>
      <c r="S47" s="44">
        <f t="shared" si="6"/>
        <v>3.4458375125376146</v>
      </c>
      <c r="T47" s="44">
        <f t="shared" si="7"/>
        <v>3.4318072289156611</v>
      </c>
    </row>
    <row r="48" spans="1:20">
      <c r="A48" t="s">
        <v>18</v>
      </c>
      <c r="B48" t="str">
        <f t="shared" si="0"/>
        <v>Senior</v>
      </c>
      <c r="F48">
        <f t="shared" si="1"/>
        <v>0</v>
      </c>
      <c r="K48" t="b">
        <v>1</v>
      </c>
      <c r="L48">
        <f t="shared" si="3"/>
        <v>0</v>
      </c>
      <c r="M48">
        <f>SUM($L$2:$L48)</f>
        <v>343.55000000000007</v>
      </c>
      <c r="N48">
        <f>SUM($F$2:$F48)</f>
        <v>99.699999999999974</v>
      </c>
      <c r="O48" s="44">
        <f t="shared" si="4"/>
        <v>0</v>
      </c>
      <c r="P48" s="44">
        <f>SUM($O$2:$O48)</f>
        <v>142.41999999999999</v>
      </c>
      <c r="Q48" s="44">
        <f t="shared" si="5"/>
        <v>0</v>
      </c>
      <c r="R48" s="44">
        <f>SUM($Q$2:$Q48)</f>
        <v>41.500000000000014</v>
      </c>
      <c r="S48" s="44">
        <f t="shared" si="6"/>
        <v>3.4458375125376146</v>
      </c>
      <c r="T48" s="44">
        <f t="shared" si="7"/>
        <v>3.4318072289156611</v>
      </c>
    </row>
    <row r="49" spans="1:20">
      <c r="A49" t="s">
        <v>18</v>
      </c>
      <c r="B49" t="str">
        <f t="shared" si="0"/>
        <v>Senior</v>
      </c>
      <c r="F49">
        <f t="shared" si="1"/>
        <v>0</v>
      </c>
      <c r="K49" t="b">
        <v>1</v>
      </c>
      <c r="L49">
        <f t="shared" si="3"/>
        <v>0</v>
      </c>
      <c r="M49">
        <f>SUM($L$2:$L49)</f>
        <v>343.55000000000007</v>
      </c>
      <c r="N49">
        <f>SUM($F$2:$F49)</f>
        <v>99.699999999999974</v>
      </c>
      <c r="O49" s="44">
        <f t="shared" si="4"/>
        <v>0</v>
      </c>
      <c r="P49" s="44">
        <f>SUM($O$2:$O49)</f>
        <v>142.41999999999999</v>
      </c>
      <c r="Q49" s="44">
        <f t="shared" si="5"/>
        <v>0</v>
      </c>
      <c r="R49" s="44">
        <f>SUM($Q$2:$Q49)</f>
        <v>41.500000000000014</v>
      </c>
      <c r="S49" s="44">
        <f t="shared" si="6"/>
        <v>3.4458375125376146</v>
      </c>
      <c r="T49" s="44">
        <f t="shared" si="7"/>
        <v>3.4318072289156611</v>
      </c>
    </row>
    <row r="50" spans="1:20">
      <c r="A50" t="s">
        <v>18</v>
      </c>
      <c r="B50" t="str">
        <f t="shared" si="0"/>
        <v>Senior</v>
      </c>
      <c r="F50">
        <f t="shared" si="1"/>
        <v>0</v>
      </c>
      <c r="K50" t="b">
        <v>1</v>
      </c>
      <c r="L50">
        <f t="shared" si="3"/>
        <v>0</v>
      </c>
      <c r="M50">
        <f>SUM($L$2:$L50)</f>
        <v>343.55000000000007</v>
      </c>
      <c r="N50">
        <f>SUM($F$2:$F50)</f>
        <v>99.699999999999974</v>
      </c>
      <c r="O50" s="44">
        <f t="shared" si="4"/>
        <v>0</v>
      </c>
      <c r="P50" s="44">
        <f>SUM($O$2:$O50)</f>
        <v>142.41999999999999</v>
      </c>
      <c r="Q50" s="44">
        <f t="shared" si="5"/>
        <v>0</v>
      </c>
      <c r="R50" s="44">
        <f>SUM($Q$2:$Q50)</f>
        <v>41.500000000000014</v>
      </c>
      <c r="S50" s="44">
        <f t="shared" si="6"/>
        <v>3.4458375125376146</v>
      </c>
      <c r="T50" s="44">
        <f t="shared" si="7"/>
        <v>3.4318072289156611</v>
      </c>
    </row>
    <row r="51" spans="1:20">
      <c r="A51" t="s">
        <v>18</v>
      </c>
      <c r="B51" t="str">
        <f t="shared" si="0"/>
        <v>Senior</v>
      </c>
      <c r="F51">
        <f t="shared" si="1"/>
        <v>0</v>
      </c>
      <c r="K51" t="b">
        <v>1</v>
      </c>
      <c r="L51">
        <f t="shared" si="3"/>
        <v>0</v>
      </c>
      <c r="M51">
        <f>SUM($L$2:$L51)</f>
        <v>343.55000000000007</v>
      </c>
      <c r="N51">
        <f>SUM($F$2:$F51)</f>
        <v>99.699999999999974</v>
      </c>
      <c r="O51" s="44">
        <f t="shared" si="4"/>
        <v>0</v>
      </c>
      <c r="P51" s="44">
        <f>SUM($O$2:$O51)</f>
        <v>142.41999999999999</v>
      </c>
      <c r="Q51" s="44">
        <f t="shared" si="5"/>
        <v>0</v>
      </c>
      <c r="R51" s="44">
        <f>SUM($Q$2:$Q51)</f>
        <v>41.500000000000014</v>
      </c>
      <c r="S51" s="44">
        <f t="shared" si="6"/>
        <v>3.4458375125376146</v>
      </c>
      <c r="T51" s="44">
        <f t="shared" si="7"/>
        <v>3.4318072289156611</v>
      </c>
    </row>
    <row r="52" spans="1:20">
      <c r="A52" t="s">
        <v>18</v>
      </c>
      <c r="B52" t="str">
        <f t="shared" si="0"/>
        <v>Senior</v>
      </c>
      <c r="F52">
        <f t="shared" si="1"/>
        <v>0</v>
      </c>
      <c r="K52" t="b">
        <v>1</v>
      </c>
      <c r="L52">
        <f t="shared" si="3"/>
        <v>0</v>
      </c>
      <c r="M52">
        <f>SUM($L$2:$L52)</f>
        <v>343.55000000000007</v>
      </c>
      <c r="N52">
        <f>SUM($F$2:$F52)</f>
        <v>99.699999999999974</v>
      </c>
      <c r="O52" s="44">
        <f t="shared" si="4"/>
        <v>0</v>
      </c>
      <c r="P52" s="44">
        <f>SUM($O$2:$O52)</f>
        <v>142.41999999999999</v>
      </c>
      <c r="Q52" s="44">
        <f t="shared" si="5"/>
        <v>0</v>
      </c>
      <c r="R52" s="44">
        <f>SUM($Q$2:$Q52)</f>
        <v>41.500000000000014</v>
      </c>
      <c r="S52" s="44">
        <f t="shared" si="6"/>
        <v>3.4458375125376146</v>
      </c>
      <c r="T52" s="44">
        <f t="shared" si="7"/>
        <v>3.4318072289156611</v>
      </c>
    </row>
    <row r="72" spans="1:9" ht="49">
      <c r="A72" s="1" t="s">
        <v>5</v>
      </c>
      <c r="B72" s="1" t="s">
        <v>20</v>
      </c>
      <c r="E72" s="1" t="s">
        <v>29</v>
      </c>
      <c r="F72" s="5" t="s">
        <v>30</v>
      </c>
      <c r="H72" s="37" t="s">
        <v>58</v>
      </c>
      <c r="I72" t="s">
        <v>57</v>
      </c>
    </row>
    <row r="73" spans="1:9">
      <c r="A73" s="2" t="s">
        <v>21</v>
      </c>
      <c r="B73" s="2">
        <v>0</v>
      </c>
      <c r="E73" s="2">
        <v>0.5</v>
      </c>
      <c r="F73" s="2">
        <v>0.3</v>
      </c>
      <c r="H73" t="s">
        <v>14</v>
      </c>
      <c r="I73" t="s">
        <v>46</v>
      </c>
    </row>
    <row r="74" spans="1:9">
      <c r="A74" s="3" t="s">
        <v>14</v>
      </c>
      <c r="B74" s="4">
        <v>4</v>
      </c>
      <c r="E74" s="4">
        <v>1</v>
      </c>
      <c r="F74" s="2">
        <v>0.7</v>
      </c>
      <c r="H74" t="s">
        <v>19</v>
      </c>
      <c r="I74" t="s">
        <v>47</v>
      </c>
    </row>
    <row r="75" spans="1:9">
      <c r="A75" s="3" t="s">
        <v>19</v>
      </c>
      <c r="B75" s="4">
        <v>3.7</v>
      </c>
      <c r="E75" s="4">
        <v>1.5</v>
      </c>
      <c r="F75" s="2">
        <v>1</v>
      </c>
      <c r="H75" t="s">
        <v>16</v>
      </c>
      <c r="I75" t="s">
        <v>48</v>
      </c>
    </row>
    <row r="76" spans="1:9">
      <c r="A76" s="3" t="s">
        <v>22</v>
      </c>
      <c r="B76" s="4">
        <v>4</v>
      </c>
      <c r="E76" s="4">
        <v>2</v>
      </c>
      <c r="F76" s="2">
        <v>1.3</v>
      </c>
      <c r="H76" t="s">
        <v>15</v>
      </c>
      <c r="I76" t="s">
        <v>49</v>
      </c>
    </row>
    <row r="77" spans="1:9">
      <c r="A77" s="3" t="s">
        <v>15</v>
      </c>
      <c r="B77" s="4">
        <v>3</v>
      </c>
      <c r="E77" s="4">
        <v>2.5</v>
      </c>
      <c r="F77" s="2">
        <v>1.7</v>
      </c>
      <c r="H77" t="s">
        <v>23</v>
      </c>
      <c r="I77" t="s">
        <v>50</v>
      </c>
    </row>
    <row r="78" spans="1:9">
      <c r="A78" s="3" t="s">
        <v>23</v>
      </c>
      <c r="B78" s="4">
        <v>2.7</v>
      </c>
      <c r="E78" s="4">
        <v>3</v>
      </c>
      <c r="F78" s="2">
        <v>2</v>
      </c>
      <c r="H78" t="s">
        <v>25</v>
      </c>
      <c r="I78" t="s">
        <v>51</v>
      </c>
    </row>
    <row r="79" spans="1:9">
      <c r="A79" s="3" t="s">
        <v>16</v>
      </c>
      <c r="B79" s="4">
        <v>3.5</v>
      </c>
      <c r="E79" s="2">
        <v>3.5</v>
      </c>
      <c r="F79" s="2">
        <v>2.2999999999999998</v>
      </c>
      <c r="H79" t="s">
        <v>11</v>
      </c>
      <c r="I79" t="s">
        <v>52</v>
      </c>
    </row>
    <row r="80" spans="1:9">
      <c r="A80" s="3" t="s">
        <v>11</v>
      </c>
      <c r="B80" s="4">
        <v>2</v>
      </c>
      <c r="E80" s="4">
        <v>4</v>
      </c>
      <c r="F80" s="2">
        <v>2.7</v>
      </c>
      <c r="H80" t="s">
        <v>24</v>
      </c>
      <c r="I80" t="s">
        <v>53</v>
      </c>
    </row>
    <row r="81" spans="1:9">
      <c r="A81" s="3" t="s">
        <v>24</v>
      </c>
      <c r="B81" s="4">
        <v>1.7</v>
      </c>
      <c r="E81" s="4">
        <v>4.5</v>
      </c>
      <c r="F81" s="2">
        <v>3</v>
      </c>
      <c r="H81" t="s">
        <v>28</v>
      </c>
      <c r="I81" t="s">
        <v>54</v>
      </c>
    </row>
    <row r="82" spans="1:9">
      <c r="A82" s="3" t="s">
        <v>25</v>
      </c>
      <c r="B82" s="4">
        <v>2.5</v>
      </c>
      <c r="E82" s="4">
        <v>5</v>
      </c>
      <c r="F82" s="2">
        <v>3.3</v>
      </c>
      <c r="H82" t="s">
        <v>26</v>
      </c>
      <c r="I82" t="s">
        <v>55</v>
      </c>
    </row>
    <row r="83" spans="1:9">
      <c r="A83" s="3" t="s">
        <v>26</v>
      </c>
      <c r="B83" s="4">
        <v>1</v>
      </c>
      <c r="E83" s="4">
        <v>6</v>
      </c>
      <c r="F83" s="2">
        <v>4</v>
      </c>
      <c r="H83" t="s">
        <v>27</v>
      </c>
      <c r="I83" t="s">
        <v>56</v>
      </c>
    </row>
    <row r="84" spans="1:9">
      <c r="A84" s="3" t="s">
        <v>27</v>
      </c>
      <c r="B84" s="4">
        <v>0.7</v>
      </c>
      <c r="E84" s="4">
        <v>7</v>
      </c>
      <c r="F84" s="2">
        <v>4.7</v>
      </c>
    </row>
    <row r="85" spans="1:9">
      <c r="A85" s="3" t="s">
        <v>28</v>
      </c>
      <c r="B85" s="4">
        <v>1.3</v>
      </c>
      <c r="E85" s="4">
        <v>8</v>
      </c>
      <c r="F85" s="2">
        <v>5.3</v>
      </c>
    </row>
    <row r="86" spans="1:9">
      <c r="A86" s="3" t="s">
        <v>21</v>
      </c>
      <c r="B86" s="4">
        <v>0</v>
      </c>
      <c r="E86" s="4">
        <v>9</v>
      </c>
      <c r="F86" s="2">
        <v>6</v>
      </c>
    </row>
    <row r="87" spans="1:9">
      <c r="A87" s="3" t="s">
        <v>12</v>
      </c>
      <c r="B87" s="4">
        <v>0</v>
      </c>
      <c r="E87" s="4">
        <v>10</v>
      </c>
      <c r="F87" s="2">
        <v>6.7</v>
      </c>
    </row>
    <row r="88" spans="1:9">
      <c r="E88" s="2">
        <v>12</v>
      </c>
      <c r="F88" s="2">
        <v>8</v>
      </c>
    </row>
    <row r="89" spans="1:9">
      <c r="E89" s="2">
        <v>15</v>
      </c>
      <c r="F89" s="2">
        <v>10</v>
      </c>
    </row>
    <row r="90" spans="1:9">
      <c r="E90" s="2">
        <v>20</v>
      </c>
      <c r="F90" s="2">
        <v>13.3</v>
      </c>
    </row>
    <row r="91" spans="1:9">
      <c r="E91" s="2" t="s">
        <v>31</v>
      </c>
      <c r="F91" s="2">
        <v>0</v>
      </c>
    </row>
  </sheetData>
  <pageMargins left="0.75" right="0.75" top="1" bottom="1" header="0.5" footer="0.5"/>
  <pageSetup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Instructions</vt:lpstr>
      <vt:lpstr>AMCAS</vt:lpstr>
      <vt:lpstr>AACOMAS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Fohrman</dc:creator>
  <cp:lastModifiedBy>Julian Fohrman</cp:lastModifiedBy>
  <dcterms:created xsi:type="dcterms:W3CDTF">2014-03-26T23:35:01Z</dcterms:created>
  <dcterms:modified xsi:type="dcterms:W3CDTF">2015-02-25T21:44:16Z</dcterms:modified>
</cp:coreProperties>
</file>