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/>
  <workbookPr showInkAnnotation="0" autoCompressPictures="0"/>
  <bookViews>
    <workbookView xWindow="0" yWindow="0" windowWidth="25600" windowHeight="15940" tabRatio="500"/>
  </bookViews>
  <sheets>
    <sheet name="AACOMAS" sheetId="1" r:id="rId1"/>
  </sheets>
  <externalReferences>
    <externalReference r:id="rId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9" i="1" l="1"/>
  <c r="L9" i="1"/>
  <c r="I5" i="1"/>
  <c r="L5" i="1"/>
  <c r="W19" i="1"/>
  <c r="I17" i="1"/>
  <c r="L17" i="1"/>
  <c r="I19" i="1"/>
  <c r="L19" i="1"/>
  <c r="I24" i="1"/>
  <c r="L24" i="1"/>
  <c r="I20" i="1"/>
  <c r="L20" i="1"/>
  <c r="W20" i="1"/>
  <c r="I31" i="1"/>
  <c r="L31" i="1"/>
  <c r="I33" i="1"/>
  <c r="L33" i="1"/>
  <c r="I32" i="1"/>
  <c r="L32" i="1"/>
  <c r="I28" i="1"/>
  <c r="L28" i="1"/>
  <c r="W21" i="1"/>
  <c r="I40" i="1"/>
  <c r="L40" i="1"/>
  <c r="I49" i="1"/>
  <c r="L49" i="1"/>
  <c r="I48" i="1"/>
  <c r="L48" i="1"/>
  <c r="W22" i="1"/>
  <c r="G9" i="1"/>
  <c r="G17" i="1"/>
  <c r="G19" i="1"/>
  <c r="G24" i="1"/>
  <c r="G31" i="1"/>
  <c r="G33" i="1"/>
  <c r="G32" i="1"/>
  <c r="G40" i="1"/>
  <c r="G49" i="1"/>
  <c r="G48" i="1"/>
  <c r="G5" i="1"/>
  <c r="G20" i="1"/>
  <c r="G28" i="1"/>
  <c r="W23" i="1"/>
  <c r="Z23" i="1"/>
  <c r="H2" i="1"/>
  <c r="F2" i="1"/>
  <c r="G2" i="1"/>
  <c r="N2" i="1"/>
  <c r="B2" i="1"/>
  <c r="I2" i="1"/>
  <c r="L2" i="1"/>
  <c r="M2" i="1"/>
  <c r="O2" i="1"/>
  <c r="P2" i="1"/>
  <c r="Q2" i="1"/>
  <c r="R2" i="1"/>
  <c r="S2" i="1"/>
  <c r="T2" i="1"/>
  <c r="H3" i="1"/>
  <c r="F3" i="1"/>
  <c r="G3" i="1"/>
  <c r="N3" i="1"/>
  <c r="B3" i="1"/>
  <c r="I3" i="1"/>
  <c r="L3" i="1"/>
  <c r="M3" i="1"/>
  <c r="O3" i="1"/>
  <c r="P3" i="1"/>
  <c r="Q3" i="1"/>
  <c r="R3" i="1"/>
  <c r="S3" i="1"/>
  <c r="T3" i="1"/>
  <c r="H4" i="1"/>
  <c r="F4" i="1"/>
  <c r="G4" i="1"/>
  <c r="N4" i="1"/>
  <c r="B4" i="1"/>
  <c r="F5" i="1"/>
  <c r="N5" i="1"/>
  <c r="B5" i="1"/>
  <c r="H6" i="1"/>
  <c r="F6" i="1"/>
  <c r="G6" i="1"/>
  <c r="N6" i="1"/>
  <c r="B6" i="1"/>
  <c r="H7" i="1"/>
  <c r="F7" i="1"/>
  <c r="G7" i="1"/>
  <c r="N7" i="1"/>
  <c r="B7" i="1"/>
  <c r="H8" i="1"/>
  <c r="F8" i="1"/>
  <c r="G8" i="1"/>
  <c r="N8" i="1"/>
  <c r="B8" i="1"/>
  <c r="F9" i="1"/>
  <c r="N9" i="1"/>
  <c r="B9" i="1"/>
  <c r="H10" i="1"/>
  <c r="F10" i="1"/>
  <c r="G10" i="1"/>
  <c r="N10" i="1"/>
  <c r="B10" i="1"/>
  <c r="H11" i="1"/>
  <c r="F11" i="1"/>
  <c r="G11" i="1"/>
  <c r="N11" i="1"/>
  <c r="B11" i="1"/>
  <c r="H12" i="1"/>
  <c r="F12" i="1"/>
  <c r="G12" i="1"/>
  <c r="N12" i="1"/>
  <c r="B12" i="1"/>
  <c r="H13" i="1"/>
  <c r="F13" i="1"/>
  <c r="G13" i="1"/>
  <c r="N13" i="1"/>
  <c r="B13" i="1"/>
  <c r="H14" i="1"/>
  <c r="F14" i="1"/>
  <c r="G14" i="1"/>
  <c r="N14" i="1"/>
  <c r="B14" i="1"/>
  <c r="H15" i="1"/>
  <c r="F15" i="1"/>
  <c r="G15" i="1"/>
  <c r="N15" i="1"/>
  <c r="B15" i="1"/>
  <c r="H16" i="1"/>
  <c r="F16" i="1"/>
  <c r="G16" i="1"/>
  <c r="N16" i="1"/>
  <c r="B16" i="1"/>
  <c r="F17" i="1"/>
  <c r="N17" i="1"/>
  <c r="B17" i="1"/>
  <c r="H18" i="1"/>
  <c r="F18" i="1"/>
  <c r="G18" i="1"/>
  <c r="N18" i="1"/>
  <c r="B18" i="1"/>
  <c r="F19" i="1"/>
  <c r="N19" i="1"/>
  <c r="B19" i="1"/>
  <c r="F20" i="1"/>
  <c r="N20" i="1"/>
  <c r="B20" i="1"/>
  <c r="H21" i="1"/>
  <c r="F21" i="1"/>
  <c r="G21" i="1"/>
  <c r="N21" i="1"/>
  <c r="B21" i="1"/>
  <c r="F22" i="1"/>
  <c r="G22" i="1"/>
  <c r="H23" i="1"/>
  <c r="F23" i="1"/>
  <c r="G23" i="1"/>
  <c r="N23" i="1"/>
  <c r="B23" i="1"/>
  <c r="F24" i="1"/>
  <c r="N24" i="1"/>
  <c r="B24" i="1"/>
  <c r="H25" i="1"/>
  <c r="F25" i="1"/>
  <c r="G25" i="1"/>
  <c r="N25" i="1"/>
  <c r="B25" i="1"/>
  <c r="H26" i="1"/>
  <c r="F26" i="1"/>
  <c r="G26" i="1"/>
  <c r="N26" i="1"/>
  <c r="B26" i="1"/>
  <c r="H27" i="1"/>
  <c r="F27" i="1"/>
  <c r="G27" i="1"/>
  <c r="N27" i="1"/>
  <c r="B27" i="1"/>
  <c r="F28" i="1"/>
  <c r="N28" i="1"/>
  <c r="B28" i="1"/>
  <c r="H29" i="1"/>
  <c r="F29" i="1"/>
  <c r="G29" i="1"/>
  <c r="N29" i="1"/>
  <c r="B29" i="1"/>
  <c r="H30" i="1"/>
  <c r="F30" i="1"/>
  <c r="G30" i="1"/>
  <c r="N30" i="1"/>
  <c r="B30" i="1"/>
  <c r="F31" i="1"/>
  <c r="N31" i="1"/>
  <c r="B31" i="1"/>
  <c r="F32" i="1"/>
  <c r="N32" i="1"/>
  <c r="B32" i="1"/>
  <c r="F33" i="1"/>
  <c r="N33" i="1"/>
  <c r="B33" i="1"/>
  <c r="H34" i="1"/>
  <c r="F34" i="1"/>
  <c r="G34" i="1"/>
  <c r="N34" i="1"/>
  <c r="B34" i="1"/>
  <c r="F35" i="1"/>
  <c r="G35" i="1"/>
  <c r="H36" i="1"/>
  <c r="F36" i="1"/>
  <c r="G36" i="1"/>
  <c r="N36" i="1"/>
  <c r="B36" i="1"/>
  <c r="H37" i="1"/>
  <c r="F37" i="1"/>
  <c r="G37" i="1"/>
  <c r="N37" i="1"/>
  <c r="B37" i="1"/>
  <c r="H38" i="1"/>
  <c r="G38" i="1"/>
  <c r="N38" i="1"/>
  <c r="B38" i="1"/>
  <c r="H39" i="1"/>
  <c r="G39" i="1"/>
  <c r="N39" i="1"/>
  <c r="B39" i="1"/>
  <c r="F40" i="1"/>
  <c r="N40" i="1"/>
  <c r="B40" i="1"/>
  <c r="H41" i="1"/>
  <c r="F41" i="1"/>
  <c r="G41" i="1"/>
  <c r="N41" i="1"/>
  <c r="B41" i="1"/>
  <c r="H42" i="1"/>
  <c r="F42" i="1"/>
  <c r="G42" i="1"/>
  <c r="N42" i="1"/>
  <c r="B42" i="1"/>
  <c r="H43" i="1"/>
  <c r="F43" i="1"/>
  <c r="G43" i="1"/>
  <c r="N43" i="1"/>
  <c r="B43" i="1"/>
  <c r="H44" i="1"/>
  <c r="F44" i="1"/>
  <c r="G44" i="1"/>
  <c r="N44" i="1"/>
  <c r="B44" i="1"/>
  <c r="F45" i="1"/>
  <c r="G45" i="1"/>
  <c r="N45" i="1"/>
  <c r="B45" i="1"/>
  <c r="H46" i="1"/>
  <c r="F46" i="1"/>
  <c r="G46" i="1"/>
  <c r="N46" i="1"/>
  <c r="B46" i="1"/>
  <c r="H47" i="1"/>
  <c r="F47" i="1"/>
  <c r="G47" i="1"/>
  <c r="N47" i="1"/>
  <c r="B47" i="1"/>
  <c r="F48" i="1"/>
  <c r="N48" i="1"/>
  <c r="B48" i="1"/>
  <c r="F49" i="1"/>
  <c r="N49" i="1"/>
  <c r="B49" i="1"/>
  <c r="H50" i="1"/>
  <c r="F50" i="1"/>
  <c r="G50" i="1"/>
  <c r="N50" i="1"/>
  <c r="B50" i="1"/>
  <c r="H51" i="1"/>
  <c r="F51" i="1"/>
  <c r="G51" i="1"/>
  <c r="N51" i="1"/>
  <c r="B51" i="1"/>
  <c r="F38" i="1"/>
  <c r="F39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I4" i="1"/>
  <c r="L4" i="1"/>
  <c r="I6" i="1"/>
  <c r="L6" i="1"/>
  <c r="I7" i="1"/>
  <c r="L7" i="1"/>
  <c r="L8" i="1"/>
  <c r="L10" i="1"/>
  <c r="L11" i="1"/>
  <c r="I12" i="1"/>
  <c r="L12" i="1"/>
  <c r="L13" i="1"/>
  <c r="L14" i="1"/>
  <c r="L15" i="1"/>
  <c r="I16" i="1"/>
  <c r="L16" i="1"/>
  <c r="I18" i="1"/>
  <c r="L18" i="1"/>
  <c r="I21" i="1"/>
  <c r="L21" i="1"/>
  <c r="I22" i="1"/>
  <c r="L22" i="1"/>
  <c r="I23" i="1"/>
  <c r="L23" i="1"/>
  <c r="I25" i="1"/>
  <c r="L25" i="1"/>
  <c r="I26" i="1"/>
  <c r="L26" i="1"/>
  <c r="I27" i="1"/>
  <c r="L27" i="1"/>
  <c r="I29" i="1"/>
  <c r="L29" i="1"/>
  <c r="I30" i="1"/>
  <c r="L30" i="1"/>
  <c r="I34" i="1"/>
  <c r="L34" i="1"/>
  <c r="L35" i="1"/>
  <c r="I36" i="1"/>
  <c r="L36" i="1"/>
  <c r="L37" i="1"/>
  <c r="I38" i="1"/>
  <c r="L38" i="1"/>
  <c r="I39" i="1"/>
  <c r="L39" i="1"/>
  <c r="I41" i="1"/>
  <c r="L41" i="1"/>
  <c r="L42" i="1"/>
  <c r="L43" i="1"/>
  <c r="I44" i="1"/>
  <c r="L44" i="1"/>
  <c r="L45" i="1"/>
  <c r="I46" i="1"/>
  <c r="L46" i="1"/>
  <c r="I47" i="1"/>
  <c r="L47" i="1"/>
  <c r="I50" i="1"/>
  <c r="L50" i="1"/>
  <c r="L51" i="1"/>
  <c r="H52" i="1"/>
  <c r="I52" i="1"/>
  <c r="L52" i="1"/>
  <c r="I53" i="1"/>
  <c r="L53" i="1"/>
  <c r="H54" i="1"/>
  <c r="I54" i="1"/>
  <c r="L54" i="1"/>
  <c r="H55" i="1"/>
  <c r="I55" i="1"/>
  <c r="L55" i="1"/>
  <c r="H56" i="1"/>
  <c r="I56" i="1"/>
  <c r="L56" i="1"/>
  <c r="H57" i="1"/>
  <c r="I57" i="1"/>
  <c r="L57" i="1"/>
  <c r="H58" i="1"/>
  <c r="I58" i="1"/>
  <c r="L58" i="1"/>
  <c r="H59" i="1"/>
  <c r="I59" i="1"/>
  <c r="L59" i="1"/>
  <c r="H60" i="1"/>
  <c r="I60" i="1"/>
  <c r="L60" i="1"/>
  <c r="H61" i="1"/>
  <c r="I61" i="1"/>
  <c r="L61" i="1"/>
  <c r="H62" i="1"/>
  <c r="I62" i="1"/>
  <c r="L62" i="1"/>
  <c r="H63" i="1"/>
  <c r="I63" i="1"/>
  <c r="L63" i="1"/>
  <c r="L64" i="1"/>
  <c r="H65" i="1"/>
  <c r="I65" i="1"/>
  <c r="L65" i="1"/>
  <c r="H66" i="1"/>
  <c r="I66" i="1"/>
  <c r="L66" i="1"/>
  <c r="L67" i="1"/>
  <c r="L68" i="1"/>
  <c r="H69" i="1"/>
  <c r="I69" i="1"/>
  <c r="L69" i="1"/>
  <c r="H70" i="1"/>
  <c r="I70" i="1"/>
  <c r="L70" i="1"/>
  <c r="H71" i="1"/>
  <c r="I71" i="1"/>
  <c r="L71" i="1"/>
  <c r="H72" i="1"/>
  <c r="I72" i="1"/>
  <c r="L72" i="1"/>
  <c r="H73" i="1"/>
  <c r="I73" i="1"/>
  <c r="L73" i="1"/>
  <c r="I74" i="1"/>
  <c r="L74" i="1"/>
  <c r="I75" i="1"/>
  <c r="L75" i="1"/>
  <c r="I76" i="1"/>
  <c r="L76" i="1"/>
  <c r="I77" i="1"/>
  <c r="L77" i="1"/>
  <c r="I78" i="1"/>
  <c r="L78" i="1"/>
  <c r="I79" i="1"/>
  <c r="L79" i="1"/>
  <c r="I80" i="1"/>
  <c r="L80" i="1"/>
  <c r="I81" i="1"/>
  <c r="L81" i="1"/>
  <c r="I82" i="1"/>
  <c r="L82" i="1"/>
  <c r="I83" i="1"/>
  <c r="L83" i="1"/>
  <c r="I84" i="1"/>
  <c r="L84" i="1"/>
  <c r="I85" i="1"/>
  <c r="L85" i="1"/>
  <c r="I86" i="1"/>
  <c r="L86" i="1"/>
  <c r="I87" i="1"/>
  <c r="L87" i="1"/>
  <c r="I88" i="1"/>
  <c r="L88" i="1"/>
  <c r="I89" i="1"/>
  <c r="L89" i="1"/>
  <c r="I90" i="1"/>
  <c r="L90" i="1"/>
  <c r="I91" i="1"/>
  <c r="L91" i="1"/>
  <c r="I92" i="1"/>
  <c r="L92" i="1"/>
  <c r="W3" i="1"/>
  <c r="X3" i="1"/>
  <c r="Y3" i="1"/>
  <c r="M4" i="1"/>
  <c r="O4" i="1"/>
  <c r="P4" i="1"/>
  <c r="Q4" i="1"/>
  <c r="R4" i="1"/>
  <c r="S4" i="1"/>
  <c r="T4" i="1"/>
  <c r="W4" i="1"/>
  <c r="X4" i="1"/>
  <c r="Y4" i="1"/>
  <c r="M5" i="1"/>
  <c r="O5" i="1"/>
  <c r="P5" i="1"/>
  <c r="Q5" i="1"/>
  <c r="R5" i="1"/>
  <c r="S5" i="1"/>
  <c r="T5" i="1"/>
  <c r="W5" i="1"/>
  <c r="X5" i="1"/>
  <c r="Y5" i="1"/>
  <c r="M6" i="1"/>
  <c r="O6" i="1"/>
  <c r="P6" i="1"/>
  <c r="Q6" i="1"/>
  <c r="R6" i="1"/>
  <c r="S6" i="1"/>
  <c r="T6" i="1"/>
  <c r="W6" i="1"/>
  <c r="X6" i="1"/>
  <c r="Y6" i="1"/>
  <c r="M7" i="1"/>
  <c r="O7" i="1"/>
  <c r="P7" i="1"/>
  <c r="Q7" i="1"/>
  <c r="R7" i="1"/>
  <c r="S7" i="1"/>
  <c r="T7" i="1"/>
  <c r="W7" i="1"/>
  <c r="X7" i="1"/>
  <c r="Y7" i="1"/>
  <c r="I8" i="1"/>
  <c r="M8" i="1"/>
  <c r="O8" i="1"/>
  <c r="P8" i="1"/>
  <c r="Q8" i="1"/>
  <c r="R8" i="1"/>
  <c r="S8" i="1"/>
  <c r="T8" i="1"/>
  <c r="M9" i="1"/>
  <c r="O9" i="1"/>
  <c r="P9" i="1"/>
  <c r="Q9" i="1"/>
  <c r="R9" i="1"/>
  <c r="S9" i="1"/>
  <c r="T9" i="1"/>
  <c r="I10" i="1"/>
  <c r="M10" i="1"/>
  <c r="O10" i="1"/>
  <c r="P10" i="1"/>
  <c r="Q10" i="1"/>
  <c r="R10" i="1"/>
  <c r="S10" i="1"/>
  <c r="T10" i="1"/>
  <c r="W10" i="1"/>
  <c r="X10" i="1"/>
  <c r="Y10" i="1"/>
  <c r="I11" i="1"/>
  <c r="M11" i="1"/>
  <c r="O11" i="1"/>
  <c r="P11" i="1"/>
  <c r="Q11" i="1"/>
  <c r="R11" i="1"/>
  <c r="S11" i="1"/>
  <c r="T11" i="1"/>
  <c r="W11" i="1"/>
  <c r="X11" i="1"/>
  <c r="Y11" i="1"/>
  <c r="M12" i="1"/>
  <c r="O12" i="1"/>
  <c r="P12" i="1"/>
  <c r="Q12" i="1"/>
  <c r="R12" i="1"/>
  <c r="S12" i="1"/>
  <c r="T12" i="1"/>
  <c r="W12" i="1"/>
  <c r="X12" i="1"/>
  <c r="Y12" i="1"/>
  <c r="I13" i="1"/>
  <c r="M13" i="1"/>
  <c r="O13" i="1"/>
  <c r="P13" i="1"/>
  <c r="Q13" i="1"/>
  <c r="R13" i="1"/>
  <c r="S13" i="1"/>
  <c r="T13" i="1"/>
  <c r="W13" i="1"/>
  <c r="X13" i="1"/>
  <c r="Y13" i="1"/>
  <c r="I14" i="1"/>
  <c r="M14" i="1"/>
  <c r="O14" i="1"/>
  <c r="P14" i="1"/>
  <c r="Q14" i="1"/>
  <c r="R14" i="1"/>
  <c r="S14" i="1"/>
  <c r="T14" i="1"/>
  <c r="W14" i="1"/>
  <c r="X14" i="1"/>
  <c r="Y14" i="1"/>
  <c r="I15" i="1"/>
  <c r="M15" i="1"/>
  <c r="O15" i="1"/>
  <c r="P15" i="1"/>
  <c r="Q15" i="1"/>
  <c r="R15" i="1"/>
  <c r="S15" i="1"/>
  <c r="T15" i="1"/>
  <c r="M16" i="1"/>
  <c r="O16" i="1"/>
  <c r="P16" i="1"/>
  <c r="Q16" i="1"/>
  <c r="R16" i="1"/>
  <c r="S16" i="1"/>
  <c r="T16" i="1"/>
  <c r="M92" i="1"/>
  <c r="G52" i="1"/>
  <c r="G53" i="1"/>
  <c r="G54" i="1"/>
  <c r="G55" i="1"/>
  <c r="G56" i="1"/>
  <c r="G57" i="1"/>
  <c r="G58" i="1"/>
  <c r="G59" i="1"/>
  <c r="G60" i="1"/>
  <c r="G61" i="1"/>
  <c r="G62" i="1"/>
  <c r="G63" i="1"/>
  <c r="H64" i="1"/>
  <c r="G64" i="1"/>
  <c r="G65" i="1"/>
  <c r="G66" i="1"/>
  <c r="H67" i="1"/>
  <c r="G67" i="1"/>
  <c r="H68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N92" i="1"/>
  <c r="W16" i="1"/>
  <c r="M17" i="1"/>
  <c r="O17" i="1"/>
  <c r="P17" i="1"/>
  <c r="Q17" i="1"/>
  <c r="R17" i="1"/>
  <c r="S17" i="1"/>
  <c r="T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W17" i="1"/>
  <c r="M18" i="1"/>
  <c r="P18" i="1"/>
  <c r="R18" i="1"/>
  <c r="S18" i="1"/>
  <c r="T18" i="1"/>
  <c r="M19" i="1"/>
  <c r="P19" i="1"/>
  <c r="R19" i="1"/>
  <c r="S19" i="1"/>
  <c r="T19" i="1"/>
  <c r="Z19" i="1"/>
  <c r="M20" i="1"/>
  <c r="P20" i="1"/>
  <c r="R20" i="1"/>
  <c r="S20" i="1"/>
  <c r="T20" i="1"/>
  <c r="Z20" i="1"/>
  <c r="M21" i="1"/>
  <c r="P21" i="1"/>
  <c r="R21" i="1"/>
  <c r="S21" i="1"/>
  <c r="T21" i="1"/>
  <c r="Z21" i="1"/>
  <c r="M22" i="1"/>
  <c r="N22" i="1"/>
  <c r="P22" i="1"/>
  <c r="R22" i="1"/>
  <c r="S22" i="1"/>
  <c r="T22" i="1"/>
  <c r="Z22" i="1"/>
  <c r="M23" i="1"/>
  <c r="P23" i="1"/>
  <c r="R23" i="1"/>
  <c r="S23" i="1"/>
  <c r="T23" i="1"/>
  <c r="M24" i="1"/>
  <c r="P24" i="1"/>
  <c r="R24" i="1"/>
  <c r="S24" i="1"/>
  <c r="T24" i="1"/>
  <c r="M25" i="1"/>
  <c r="P25" i="1"/>
  <c r="R25" i="1"/>
  <c r="S25" i="1"/>
  <c r="T25" i="1"/>
  <c r="M26" i="1"/>
  <c r="P26" i="1"/>
  <c r="R26" i="1"/>
  <c r="S26" i="1"/>
  <c r="T26" i="1"/>
  <c r="M27" i="1"/>
  <c r="P27" i="1"/>
  <c r="R27" i="1"/>
  <c r="S27" i="1"/>
  <c r="T27" i="1"/>
  <c r="M28" i="1"/>
  <c r="P28" i="1"/>
  <c r="R28" i="1"/>
  <c r="S28" i="1"/>
  <c r="T28" i="1"/>
  <c r="M29" i="1"/>
  <c r="P29" i="1"/>
  <c r="R29" i="1"/>
  <c r="S29" i="1"/>
  <c r="T29" i="1"/>
  <c r="M30" i="1"/>
  <c r="P30" i="1"/>
  <c r="R30" i="1"/>
  <c r="S30" i="1"/>
  <c r="T30" i="1"/>
  <c r="M31" i="1"/>
  <c r="P31" i="1"/>
  <c r="R31" i="1"/>
  <c r="S31" i="1"/>
  <c r="T31" i="1"/>
  <c r="M32" i="1"/>
  <c r="P32" i="1"/>
  <c r="R32" i="1"/>
  <c r="S32" i="1"/>
  <c r="T32" i="1"/>
  <c r="M33" i="1"/>
  <c r="P33" i="1"/>
  <c r="R33" i="1"/>
  <c r="S33" i="1"/>
  <c r="T33" i="1"/>
  <c r="M34" i="1"/>
  <c r="P34" i="1"/>
  <c r="R34" i="1"/>
  <c r="S34" i="1"/>
  <c r="T34" i="1"/>
  <c r="I35" i="1"/>
  <c r="M35" i="1"/>
  <c r="N35" i="1"/>
  <c r="P35" i="1"/>
  <c r="R35" i="1"/>
  <c r="S35" i="1"/>
  <c r="T35" i="1"/>
  <c r="M36" i="1"/>
  <c r="P36" i="1"/>
  <c r="R36" i="1"/>
  <c r="S36" i="1"/>
  <c r="T36" i="1"/>
  <c r="I37" i="1"/>
  <c r="M37" i="1"/>
  <c r="P37" i="1"/>
  <c r="R37" i="1"/>
  <c r="S37" i="1"/>
  <c r="T37" i="1"/>
  <c r="M38" i="1"/>
  <c r="P38" i="1"/>
  <c r="R38" i="1"/>
  <c r="S38" i="1"/>
  <c r="T38" i="1"/>
  <c r="M39" i="1"/>
  <c r="P39" i="1"/>
  <c r="R39" i="1"/>
  <c r="S39" i="1"/>
  <c r="T39" i="1"/>
  <c r="M40" i="1"/>
  <c r="P40" i="1"/>
  <c r="R40" i="1"/>
  <c r="S40" i="1"/>
  <c r="T40" i="1"/>
  <c r="M41" i="1"/>
  <c r="P41" i="1"/>
  <c r="R41" i="1"/>
  <c r="S41" i="1"/>
  <c r="T41" i="1"/>
  <c r="I42" i="1"/>
  <c r="M42" i="1"/>
  <c r="P42" i="1"/>
  <c r="R42" i="1"/>
  <c r="S42" i="1"/>
  <c r="T42" i="1"/>
  <c r="I43" i="1"/>
  <c r="M43" i="1"/>
  <c r="P43" i="1"/>
  <c r="R43" i="1"/>
  <c r="S43" i="1"/>
  <c r="T43" i="1"/>
  <c r="M44" i="1"/>
  <c r="P44" i="1"/>
  <c r="R44" i="1"/>
  <c r="S44" i="1"/>
  <c r="T44" i="1"/>
  <c r="I45" i="1"/>
  <c r="M45" i="1"/>
  <c r="P45" i="1"/>
  <c r="R45" i="1"/>
  <c r="S45" i="1"/>
  <c r="T45" i="1"/>
  <c r="M46" i="1"/>
  <c r="P46" i="1"/>
  <c r="R46" i="1"/>
  <c r="S46" i="1"/>
  <c r="T46" i="1"/>
  <c r="M47" i="1"/>
  <c r="P47" i="1"/>
  <c r="R47" i="1"/>
  <c r="S47" i="1"/>
  <c r="T47" i="1"/>
  <c r="M48" i="1"/>
  <c r="P48" i="1"/>
  <c r="R48" i="1"/>
  <c r="S48" i="1"/>
  <c r="T48" i="1"/>
  <c r="M49" i="1"/>
  <c r="P49" i="1"/>
  <c r="R49" i="1"/>
  <c r="S49" i="1"/>
  <c r="T49" i="1"/>
  <c r="M50" i="1"/>
  <c r="P50" i="1"/>
  <c r="R50" i="1"/>
  <c r="S50" i="1"/>
  <c r="T50" i="1"/>
  <c r="I51" i="1"/>
  <c r="M51" i="1"/>
  <c r="P51" i="1"/>
  <c r="R51" i="1"/>
  <c r="S51" i="1"/>
  <c r="T51" i="1"/>
  <c r="M52" i="1"/>
  <c r="N52" i="1"/>
  <c r="P52" i="1"/>
  <c r="R52" i="1"/>
  <c r="S52" i="1"/>
  <c r="T52" i="1"/>
  <c r="M53" i="1"/>
  <c r="N53" i="1"/>
  <c r="P53" i="1"/>
  <c r="R53" i="1"/>
  <c r="S53" i="1"/>
  <c r="T53" i="1"/>
  <c r="M54" i="1"/>
  <c r="N54" i="1"/>
  <c r="P54" i="1"/>
  <c r="R54" i="1"/>
  <c r="S54" i="1"/>
  <c r="T54" i="1"/>
  <c r="M55" i="1"/>
  <c r="N55" i="1"/>
  <c r="P55" i="1"/>
  <c r="R55" i="1"/>
  <c r="S55" i="1"/>
  <c r="T55" i="1"/>
  <c r="M56" i="1"/>
  <c r="N56" i="1"/>
  <c r="P56" i="1"/>
  <c r="R56" i="1"/>
  <c r="S56" i="1"/>
  <c r="T56" i="1"/>
  <c r="M57" i="1"/>
  <c r="N57" i="1"/>
  <c r="P57" i="1"/>
  <c r="R57" i="1"/>
  <c r="S57" i="1"/>
  <c r="T57" i="1"/>
  <c r="M58" i="1"/>
  <c r="N58" i="1"/>
  <c r="P58" i="1"/>
  <c r="R58" i="1"/>
  <c r="S58" i="1"/>
  <c r="T58" i="1"/>
  <c r="M59" i="1"/>
  <c r="N59" i="1"/>
  <c r="P59" i="1"/>
  <c r="R59" i="1"/>
  <c r="S59" i="1"/>
  <c r="T59" i="1"/>
  <c r="M60" i="1"/>
  <c r="N60" i="1"/>
  <c r="P60" i="1"/>
  <c r="R60" i="1"/>
  <c r="S60" i="1"/>
  <c r="T60" i="1"/>
  <c r="M61" i="1"/>
  <c r="N61" i="1"/>
  <c r="P61" i="1"/>
  <c r="R61" i="1"/>
  <c r="S61" i="1"/>
  <c r="T61" i="1"/>
  <c r="M62" i="1"/>
  <c r="N62" i="1"/>
  <c r="P62" i="1"/>
  <c r="R62" i="1"/>
  <c r="S62" i="1"/>
  <c r="T62" i="1"/>
  <c r="M63" i="1"/>
  <c r="N63" i="1"/>
  <c r="P63" i="1"/>
  <c r="R63" i="1"/>
  <c r="S63" i="1"/>
  <c r="T63" i="1"/>
  <c r="I64" i="1"/>
  <c r="M64" i="1"/>
  <c r="N64" i="1"/>
  <c r="P64" i="1"/>
  <c r="R64" i="1"/>
  <c r="S64" i="1"/>
  <c r="T64" i="1"/>
  <c r="M65" i="1"/>
  <c r="N65" i="1"/>
  <c r="P65" i="1"/>
  <c r="R65" i="1"/>
  <c r="S65" i="1"/>
  <c r="T65" i="1"/>
  <c r="M66" i="1"/>
  <c r="N66" i="1"/>
  <c r="P66" i="1"/>
  <c r="R66" i="1"/>
  <c r="S66" i="1"/>
  <c r="T66" i="1"/>
  <c r="I67" i="1"/>
  <c r="M67" i="1"/>
  <c r="N67" i="1"/>
  <c r="P67" i="1"/>
  <c r="R67" i="1"/>
  <c r="S67" i="1"/>
  <c r="T67" i="1"/>
  <c r="I68" i="1"/>
  <c r="M68" i="1"/>
  <c r="N68" i="1"/>
  <c r="P68" i="1"/>
  <c r="R68" i="1"/>
  <c r="S68" i="1"/>
  <c r="T68" i="1"/>
  <c r="M69" i="1"/>
  <c r="N69" i="1"/>
  <c r="P69" i="1"/>
  <c r="R69" i="1"/>
  <c r="S69" i="1"/>
  <c r="T69" i="1"/>
  <c r="M70" i="1"/>
  <c r="N70" i="1"/>
  <c r="P70" i="1"/>
  <c r="R70" i="1"/>
  <c r="S70" i="1"/>
  <c r="T70" i="1"/>
  <c r="M71" i="1"/>
  <c r="N71" i="1"/>
  <c r="P71" i="1"/>
  <c r="R71" i="1"/>
  <c r="S71" i="1"/>
  <c r="T71" i="1"/>
  <c r="M72" i="1"/>
  <c r="N72" i="1"/>
  <c r="P72" i="1"/>
  <c r="R72" i="1"/>
  <c r="S72" i="1"/>
  <c r="T72" i="1"/>
  <c r="M73" i="1"/>
  <c r="N73" i="1"/>
  <c r="P73" i="1"/>
  <c r="R73" i="1"/>
  <c r="S73" i="1"/>
  <c r="T73" i="1"/>
  <c r="M74" i="1"/>
  <c r="N74" i="1"/>
  <c r="P74" i="1"/>
  <c r="R74" i="1"/>
  <c r="S74" i="1"/>
  <c r="T74" i="1"/>
  <c r="M75" i="1"/>
  <c r="N75" i="1"/>
  <c r="P75" i="1"/>
  <c r="R75" i="1"/>
  <c r="S75" i="1"/>
  <c r="T75" i="1"/>
  <c r="M76" i="1"/>
  <c r="N76" i="1"/>
  <c r="P76" i="1"/>
  <c r="R76" i="1"/>
  <c r="S76" i="1"/>
  <c r="T76" i="1"/>
  <c r="M77" i="1"/>
  <c r="N77" i="1"/>
  <c r="P77" i="1"/>
  <c r="R77" i="1"/>
  <c r="S77" i="1"/>
  <c r="T77" i="1"/>
  <c r="M78" i="1"/>
  <c r="N78" i="1"/>
  <c r="P78" i="1"/>
  <c r="R78" i="1"/>
  <c r="S78" i="1"/>
  <c r="T78" i="1"/>
  <c r="M79" i="1"/>
  <c r="N79" i="1"/>
  <c r="P79" i="1"/>
  <c r="R79" i="1"/>
  <c r="S79" i="1"/>
  <c r="T79" i="1"/>
  <c r="M80" i="1"/>
  <c r="N80" i="1"/>
  <c r="P80" i="1"/>
  <c r="R80" i="1"/>
  <c r="S80" i="1"/>
  <c r="T80" i="1"/>
  <c r="M81" i="1"/>
  <c r="N81" i="1"/>
  <c r="P81" i="1"/>
  <c r="R81" i="1"/>
  <c r="S81" i="1"/>
  <c r="T81" i="1"/>
  <c r="M82" i="1"/>
  <c r="N82" i="1"/>
  <c r="P82" i="1"/>
  <c r="R82" i="1"/>
  <c r="S82" i="1"/>
  <c r="T82" i="1"/>
  <c r="M83" i="1"/>
  <c r="N83" i="1"/>
  <c r="P83" i="1"/>
  <c r="R83" i="1"/>
  <c r="S83" i="1"/>
  <c r="T83" i="1"/>
  <c r="M84" i="1"/>
  <c r="N84" i="1"/>
  <c r="P84" i="1"/>
  <c r="R84" i="1"/>
  <c r="S84" i="1"/>
  <c r="T84" i="1"/>
  <c r="M85" i="1"/>
  <c r="N85" i="1"/>
  <c r="P85" i="1"/>
  <c r="R85" i="1"/>
  <c r="S85" i="1"/>
  <c r="T85" i="1"/>
  <c r="M86" i="1"/>
  <c r="N86" i="1"/>
  <c r="P86" i="1"/>
  <c r="R86" i="1"/>
  <c r="S86" i="1"/>
  <c r="T86" i="1"/>
  <c r="M87" i="1"/>
  <c r="N87" i="1"/>
  <c r="P87" i="1"/>
  <c r="R87" i="1"/>
  <c r="S87" i="1"/>
  <c r="T87" i="1"/>
  <c r="M88" i="1"/>
  <c r="N88" i="1"/>
  <c r="P88" i="1"/>
  <c r="R88" i="1"/>
  <c r="S88" i="1"/>
  <c r="T88" i="1"/>
  <c r="M89" i="1"/>
  <c r="N89" i="1"/>
  <c r="P89" i="1"/>
  <c r="R89" i="1"/>
  <c r="S89" i="1"/>
  <c r="T89" i="1"/>
  <c r="M90" i="1"/>
  <c r="N90" i="1"/>
  <c r="P90" i="1"/>
  <c r="R90" i="1"/>
  <c r="S90" i="1"/>
  <c r="T90" i="1"/>
  <c r="M91" i="1"/>
  <c r="N91" i="1"/>
  <c r="P91" i="1"/>
  <c r="R91" i="1"/>
  <c r="S91" i="1"/>
  <c r="T91" i="1"/>
  <c r="P92" i="1"/>
  <c r="R92" i="1"/>
  <c r="S92" i="1"/>
  <c r="T92" i="1"/>
  <c r="F93" i="1"/>
  <c r="M97" i="1"/>
  <c r="L115" i="1"/>
  <c r="F123" i="1"/>
</calcChain>
</file>

<file path=xl/sharedStrings.xml><?xml version="1.0" encoding="utf-8"?>
<sst xmlns="http://schemas.openxmlformats.org/spreadsheetml/2006/main" count="379" uniqueCount="89">
  <si>
    <t>Enter Quarter Units</t>
  </si>
  <si>
    <t>F</t>
  </si>
  <si>
    <t>Enter Grade</t>
  </si>
  <si>
    <t>D+</t>
  </si>
  <si>
    <t>D-</t>
  </si>
  <si>
    <t>D</t>
  </si>
  <si>
    <t>C+</t>
  </si>
  <si>
    <t>C-</t>
  </si>
  <si>
    <t>C</t>
  </si>
  <si>
    <t>B+</t>
  </si>
  <si>
    <t>B-</t>
  </si>
  <si>
    <t>B</t>
  </si>
  <si>
    <t>A+</t>
  </si>
  <si>
    <t>A-</t>
  </si>
  <si>
    <t>A</t>
  </si>
  <si>
    <t xml:space="preserve">Semester Conversion </t>
  </si>
  <si>
    <t>AACOMAS Quarter System Units</t>
  </si>
  <si>
    <t>AACOMAS Grade Points</t>
  </si>
  <si>
    <t>Letter Grade</t>
  </si>
  <si>
    <t>Post-bacc</t>
  </si>
  <si>
    <t>Medical terminology (summer)</t>
  </si>
  <si>
    <t>Stat for Business</t>
  </si>
  <si>
    <t>Discrete Structures</t>
  </si>
  <si>
    <t>x</t>
  </si>
  <si>
    <t>Organic Chemistry II Lab</t>
  </si>
  <si>
    <t>Organic Chemistry II</t>
  </si>
  <si>
    <t>Database</t>
  </si>
  <si>
    <t>Nonprofit Org I</t>
  </si>
  <si>
    <t>Organic Chemistry I</t>
  </si>
  <si>
    <t>W</t>
  </si>
  <si>
    <t>Topics in Computer Science I</t>
  </si>
  <si>
    <t>Calculus II</t>
  </si>
  <si>
    <t>Prin of Macroecon</t>
  </si>
  <si>
    <t>Intro Financl Acct</t>
  </si>
  <si>
    <t>sGPA PB</t>
  </si>
  <si>
    <t>cGPA PB</t>
  </si>
  <si>
    <t>sGPA Senior</t>
  </si>
  <si>
    <t>cGPA Senior</t>
  </si>
  <si>
    <t>Sophomore</t>
  </si>
  <si>
    <t>sGPA Junior</t>
  </si>
  <si>
    <t>cGPA Junior</t>
  </si>
  <si>
    <t>sGPA Sophomore</t>
  </si>
  <si>
    <t>cGPA Sophomore</t>
  </si>
  <si>
    <t>sGPA Freshman</t>
  </si>
  <si>
    <t>cGPA Freshman</t>
  </si>
  <si>
    <t>Overall Cum. sGPA</t>
  </si>
  <si>
    <t>Overall Cum. GPA</t>
  </si>
  <si>
    <t>Senior</t>
  </si>
  <si>
    <t>Junior</t>
  </si>
  <si>
    <t>Prin of Microecon</t>
  </si>
  <si>
    <t>Freshman</t>
  </si>
  <si>
    <t>Calc Matrix Alg Bus</t>
  </si>
  <si>
    <t>Highschool</t>
  </si>
  <si>
    <t>sGPA</t>
  </si>
  <si>
    <t>Sem. Hours</t>
  </si>
  <si>
    <t>QP</t>
  </si>
  <si>
    <t>sGPA by Year</t>
  </si>
  <si>
    <t>GPA</t>
  </si>
  <si>
    <t>GPA By Year</t>
  </si>
  <si>
    <t>cSGPA</t>
  </si>
  <si>
    <t>cGPA</t>
  </si>
  <si>
    <t>c Scredits</t>
  </si>
  <si>
    <t>S Credit</t>
  </si>
  <si>
    <t>c SQP</t>
  </si>
  <si>
    <t>sQP</t>
  </si>
  <si>
    <t>cCredits</t>
  </si>
  <si>
    <t>cQP</t>
  </si>
  <si>
    <t>Quarter</t>
  </si>
  <si>
    <t>Science</t>
  </si>
  <si>
    <t>AACOMAS Grade</t>
  </si>
  <si>
    <t>True Sem. Credits</t>
  </si>
  <si>
    <t>Sem. Credits</t>
  </si>
  <si>
    <t>Credits</t>
  </si>
  <si>
    <t>Repeat</t>
  </si>
  <si>
    <t>Class</t>
  </si>
  <si>
    <t>Year</t>
  </si>
  <si>
    <t>School</t>
  </si>
  <si>
    <t>School A</t>
  </si>
  <si>
    <t>School B</t>
  </si>
  <si>
    <t>School C</t>
  </si>
  <si>
    <t>School D</t>
  </si>
  <si>
    <t>School E</t>
  </si>
  <si>
    <t>Freshman Class</t>
  </si>
  <si>
    <t>Sophomore Class</t>
  </si>
  <si>
    <t>Junior Class</t>
  </si>
  <si>
    <t>Senior Class</t>
  </si>
  <si>
    <r>
      <t>Advanced HTML</t>
    </r>
    <r>
      <rPr>
        <sz val="12"/>
        <color theme="1"/>
        <rFont val="Calibri"/>
        <family val="2"/>
        <scheme val="minor"/>
      </rPr>
      <t xml:space="preserve"> (Topics in Computer Science I)</t>
    </r>
  </si>
  <si>
    <t>Post Bacc Class</t>
  </si>
  <si>
    <r>
      <t>calculus</t>
    </r>
    <r>
      <rPr>
        <sz val="12"/>
        <color theme="1"/>
        <rFont val="Calibri"/>
        <family val="2"/>
        <scheme val="minor"/>
      </rPr>
      <t xml:space="preserve"> I &amp; II</t>
    </r>
    <r>
      <rPr>
        <sz val="12"/>
        <color theme="1"/>
        <rFont val="Calibri"/>
        <family val="2"/>
        <scheme val="minor"/>
      </rPr>
      <t xml:space="preserve"> (summer)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</si>
</sst>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name val="Arial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indexed="8"/>
      <name val="Albany"/>
      <family val="2"/>
    </font>
    <font>
      <b/>
      <sz val="10"/>
      <name val="Arial"/>
      <family val="2"/>
    </font>
    <font>
      <sz val="12"/>
      <name val="Arial"/>
    </font>
    <font>
      <u/>
      <sz val="10"/>
      <color theme="10"/>
      <name val="Arial"/>
    </font>
    <font>
      <u/>
      <sz val="10"/>
      <color theme="11"/>
      <name val="Arial"/>
    </font>
  </fonts>
  <fills count="1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20">
    <xf numFmtId="0" fontId="0" fillId="0" borderId="0"/>
    <xf numFmtId="0" fontId="3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87">
    <xf numFmtId="0" fontId="0" fillId="0" borderId="0" xfId="0"/>
    <xf numFmtId="0" fontId="3" fillId="0" borderId="0" xfId="1"/>
    <xf numFmtId="2" fontId="3" fillId="0" borderId="0" xfId="1" applyNumberFormat="1"/>
    <xf numFmtId="0" fontId="3" fillId="0" borderId="0" xfId="1" applyFont="1"/>
    <xf numFmtId="0" fontId="3" fillId="0" borderId="0" xfId="1" applyBorder="1" applyAlignment="1">
      <alignment horizontal="center"/>
    </xf>
    <xf numFmtId="0" fontId="3" fillId="0" borderId="1" xfId="1" applyBorder="1" applyAlignment="1">
      <alignment horizontal="center"/>
    </xf>
    <xf numFmtId="164" fontId="7" fillId="0" borderId="1" xfId="1" applyNumberFormat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8" fillId="0" borderId="2" xfId="1" applyFont="1" applyFill="1" applyBorder="1" applyAlignment="1">
      <alignment horizontal="center" wrapText="1"/>
    </xf>
    <xf numFmtId="0" fontId="8" fillId="0" borderId="1" xfId="1" applyFont="1" applyFill="1" applyBorder="1" applyAlignment="1">
      <alignment horizontal="center" wrapText="1"/>
    </xf>
    <xf numFmtId="0" fontId="8" fillId="0" borderId="1" xfId="1" applyFont="1" applyBorder="1" applyAlignment="1">
      <alignment horizontal="center" wrapText="1"/>
    </xf>
    <xf numFmtId="0" fontId="3" fillId="2" borderId="0" xfId="1" applyFill="1"/>
    <xf numFmtId="2" fontId="3" fillId="2" borderId="0" xfId="1" applyNumberFormat="1" applyFill="1"/>
    <xf numFmtId="0" fontId="3" fillId="3" borderId="0" xfId="1" applyFill="1"/>
    <xf numFmtId="2" fontId="3" fillId="3" borderId="0" xfId="1" applyNumberFormat="1" applyFill="1"/>
    <xf numFmtId="0" fontId="3" fillId="3" borderId="0" xfId="1" applyFont="1" applyFill="1"/>
    <xf numFmtId="0" fontId="3" fillId="5" borderId="0" xfId="1" applyFont="1" applyFill="1"/>
    <xf numFmtId="0" fontId="3" fillId="6" borderId="0" xfId="1" applyFont="1" applyFill="1"/>
    <xf numFmtId="0" fontId="3" fillId="7" borderId="0" xfId="1" applyFill="1"/>
    <xf numFmtId="2" fontId="3" fillId="7" borderId="0" xfId="1" applyNumberFormat="1" applyFill="1"/>
    <xf numFmtId="0" fontId="3" fillId="7" borderId="0" xfId="1" applyFont="1" applyFill="1"/>
    <xf numFmtId="0" fontId="3" fillId="8" borderId="0" xfId="1" applyFill="1"/>
    <xf numFmtId="2" fontId="3" fillId="8" borderId="0" xfId="1" applyNumberFormat="1" applyFill="1"/>
    <xf numFmtId="0" fontId="9" fillId="8" borderId="3" xfId="0" applyFont="1" applyFill="1" applyBorder="1" applyAlignment="1" applyProtection="1">
      <alignment horizontal="left" vertical="center"/>
      <protection locked="0"/>
    </xf>
    <xf numFmtId="0" fontId="9" fillId="8" borderId="4" xfId="0" applyFont="1" applyFill="1" applyBorder="1" applyAlignment="1" applyProtection="1">
      <alignment horizontal="left" vertical="center"/>
      <protection locked="0"/>
    </xf>
    <xf numFmtId="0" fontId="2" fillId="8" borderId="5" xfId="1" applyFont="1" applyFill="1" applyBorder="1"/>
    <xf numFmtId="0" fontId="3" fillId="9" borderId="0" xfId="1" applyFill="1"/>
    <xf numFmtId="2" fontId="3" fillId="9" borderId="0" xfId="1" applyNumberFormat="1" applyFill="1"/>
    <xf numFmtId="2" fontId="6" fillId="10" borderId="6" xfId="1" applyNumberFormat="1" applyFont="1" applyFill="1" applyBorder="1"/>
    <xf numFmtId="0" fontId="6" fillId="10" borderId="7" xfId="1" applyFont="1" applyFill="1" applyBorder="1"/>
    <xf numFmtId="0" fontId="9" fillId="9" borderId="5" xfId="0" applyFont="1" applyFill="1" applyBorder="1" applyAlignment="1" applyProtection="1">
      <alignment horizontal="left" vertical="center"/>
      <protection locked="0"/>
    </xf>
    <xf numFmtId="0" fontId="3" fillId="11" borderId="0" xfId="1" applyFill="1"/>
    <xf numFmtId="2" fontId="6" fillId="10" borderId="8" xfId="1" applyNumberFormat="1" applyFont="1" applyFill="1" applyBorder="1"/>
    <xf numFmtId="0" fontId="6" fillId="10" borderId="9" xfId="1" applyFont="1" applyFill="1" applyBorder="1"/>
    <xf numFmtId="2" fontId="3" fillId="11" borderId="0" xfId="1" applyNumberFormat="1" applyFill="1"/>
    <xf numFmtId="2" fontId="3" fillId="12" borderId="0" xfId="1" applyNumberFormat="1" applyFill="1"/>
    <xf numFmtId="0" fontId="3" fillId="12" borderId="0" xfId="1" applyFill="1"/>
    <xf numFmtId="2" fontId="6" fillId="10" borderId="10" xfId="1" applyNumberFormat="1" applyFont="1" applyFill="1" applyBorder="1"/>
    <xf numFmtId="0" fontId="6" fillId="10" borderId="2" xfId="1" applyFont="1" applyFill="1" applyBorder="1"/>
    <xf numFmtId="0" fontId="9" fillId="12" borderId="4" xfId="0" applyFont="1" applyFill="1" applyBorder="1" applyAlignment="1" applyProtection="1">
      <alignment horizontal="left" vertical="center"/>
      <protection locked="0"/>
    </xf>
    <xf numFmtId="2" fontId="6" fillId="10" borderId="11" xfId="1" applyNumberFormat="1" applyFont="1" applyFill="1" applyBorder="1"/>
    <xf numFmtId="0" fontId="6" fillId="10" borderId="12" xfId="1" applyFont="1" applyFill="1" applyBorder="1"/>
    <xf numFmtId="2" fontId="6" fillId="10" borderId="13" xfId="1" applyNumberFormat="1" applyFont="1" applyFill="1" applyBorder="1"/>
    <xf numFmtId="0" fontId="4" fillId="10" borderId="14" xfId="1" applyFont="1" applyFill="1" applyBorder="1"/>
    <xf numFmtId="2" fontId="6" fillId="10" borderId="15" xfId="1" applyNumberFormat="1" applyFont="1" applyFill="1" applyBorder="1"/>
    <xf numFmtId="0" fontId="4" fillId="10" borderId="16" xfId="1" applyFont="1" applyFill="1" applyBorder="1"/>
    <xf numFmtId="2" fontId="3" fillId="11" borderId="13" xfId="1" applyNumberFormat="1" applyFill="1" applyBorder="1"/>
    <xf numFmtId="0" fontId="3" fillId="11" borderId="17" xfId="1" applyFill="1" applyBorder="1"/>
    <xf numFmtId="0" fontId="5" fillId="11" borderId="14" xfId="1" applyFont="1" applyFill="1" applyBorder="1"/>
    <xf numFmtId="2" fontId="3" fillId="11" borderId="18" xfId="1" applyNumberFormat="1" applyFill="1" applyBorder="1"/>
    <xf numFmtId="0" fontId="3" fillId="11" borderId="0" xfId="1" applyFill="1" applyBorder="1"/>
    <xf numFmtId="0" fontId="5" fillId="11" borderId="19" xfId="1" applyFont="1" applyFill="1" applyBorder="1"/>
    <xf numFmtId="0" fontId="9" fillId="12" borderId="5" xfId="0" applyFont="1" applyFill="1" applyBorder="1" applyAlignment="1" applyProtection="1">
      <alignment horizontal="left" vertical="center"/>
      <protection locked="0"/>
    </xf>
    <xf numFmtId="0" fontId="3" fillId="13" borderId="0" xfId="1" applyFill="1"/>
    <xf numFmtId="2" fontId="3" fillId="13" borderId="18" xfId="1" applyNumberFormat="1" applyFill="1" applyBorder="1"/>
    <xf numFmtId="0" fontId="3" fillId="13" borderId="0" xfId="1" applyFill="1" applyBorder="1"/>
    <xf numFmtId="0" fontId="5" fillId="13" borderId="19" xfId="1" applyFont="1" applyFill="1" applyBorder="1"/>
    <xf numFmtId="2" fontId="3" fillId="13" borderId="0" xfId="1" applyNumberFormat="1" applyFill="1"/>
    <xf numFmtId="0" fontId="9" fillId="13" borderId="3" xfId="0" applyFont="1" applyFill="1" applyBorder="1" applyAlignment="1" applyProtection="1">
      <alignment horizontal="left" vertical="center"/>
      <protection locked="0"/>
    </xf>
    <xf numFmtId="0" fontId="5" fillId="13" borderId="15" xfId="1" applyFont="1" applyFill="1" applyBorder="1"/>
    <xf numFmtId="0" fontId="5" fillId="13" borderId="20" xfId="1" applyFont="1" applyFill="1" applyBorder="1"/>
    <xf numFmtId="0" fontId="3" fillId="13" borderId="16" xfId="1" applyFill="1" applyBorder="1"/>
    <xf numFmtId="0" fontId="9" fillId="13" borderId="4" xfId="0" applyFont="1" applyFill="1" applyBorder="1" applyAlignment="1" applyProtection="1">
      <alignment horizontal="left" vertical="center"/>
      <protection locked="0"/>
    </xf>
    <xf numFmtId="2" fontId="3" fillId="13" borderId="13" xfId="1" applyNumberFormat="1" applyFill="1" applyBorder="1"/>
    <xf numFmtId="0" fontId="3" fillId="13" borderId="17" xfId="1" applyFill="1" applyBorder="1"/>
    <xf numFmtId="0" fontId="5" fillId="13" borderId="14" xfId="1" applyFont="1" applyFill="1" applyBorder="1"/>
    <xf numFmtId="0" fontId="5" fillId="13" borderId="0" xfId="1" applyFont="1" applyFill="1" applyBorder="1"/>
    <xf numFmtId="0" fontId="9" fillId="13" borderId="5" xfId="0" applyFont="1" applyFill="1" applyBorder="1" applyAlignment="1" applyProtection="1">
      <alignment horizontal="left" vertical="center"/>
      <protection locked="0"/>
    </xf>
    <xf numFmtId="0" fontId="5" fillId="0" borderId="0" xfId="1" applyFont="1" applyFill="1" applyBorder="1"/>
    <xf numFmtId="0" fontId="5" fillId="0" borderId="0" xfId="1" applyFont="1"/>
    <xf numFmtId="2" fontId="5" fillId="14" borderId="0" xfId="1" applyNumberFormat="1" applyFont="1" applyFill="1"/>
    <xf numFmtId="0" fontId="5" fillId="14" borderId="0" xfId="1" applyFont="1" applyFill="1"/>
    <xf numFmtId="0" fontId="5" fillId="15" borderId="0" xfId="1" applyFont="1" applyFill="1"/>
    <xf numFmtId="0" fontId="2" fillId="13" borderId="0" xfId="1" applyFont="1" applyFill="1"/>
    <xf numFmtId="0" fontId="2" fillId="12" borderId="0" xfId="1" applyFont="1" applyFill="1"/>
    <xf numFmtId="0" fontId="2" fillId="9" borderId="0" xfId="1" applyFont="1" applyFill="1"/>
    <xf numFmtId="0" fontId="2" fillId="16" borderId="0" xfId="1" applyFont="1" applyFill="1"/>
    <xf numFmtId="0" fontId="2" fillId="7" borderId="0" xfId="1" applyFont="1" applyFill="1"/>
    <xf numFmtId="0" fontId="2" fillId="2" borderId="0" xfId="1" applyFont="1" applyFill="1"/>
    <xf numFmtId="0" fontId="2" fillId="3" borderId="0" xfId="1" applyFont="1" applyFill="1"/>
    <xf numFmtId="0" fontId="2" fillId="6" borderId="0" xfId="1" applyFont="1" applyFill="1"/>
    <xf numFmtId="0" fontId="2" fillId="5" borderId="0" xfId="1" applyFont="1" applyFill="1"/>
    <xf numFmtId="0" fontId="2" fillId="4" borderId="0" xfId="1" applyFont="1" applyFill="1"/>
    <xf numFmtId="0" fontId="1" fillId="13" borderId="0" xfId="1" applyFont="1" applyFill="1"/>
    <xf numFmtId="0" fontId="1" fillId="11" borderId="0" xfId="1" applyFont="1" applyFill="1"/>
    <xf numFmtId="0" fontId="1" fillId="9" borderId="0" xfId="1" applyFont="1" applyFill="1"/>
    <xf numFmtId="0" fontId="1" fillId="8" borderId="0" xfId="1" applyFont="1" applyFill="1"/>
  </cellXfs>
  <cellStyles count="20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Year Delineated GPA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GPA</c:v>
          </c:tx>
          <c:spPr>
            <a:gradFill flip="none" rotWithShape="1">
              <a:gsLst>
                <a:gs pos="51000">
                  <a:srgbClr val="FF0000"/>
                </a:gs>
                <a:gs pos="100000">
                  <a:srgbClr val="FFFF00"/>
                </a:gs>
              </a:gsLst>
              <a:lin ang="16200000" scaled="0"/>
              <a:tileRect/>
            </a:gradFill>
          </c:spPr>
          <c:invertIfNegative val="0"/>
          <c:cat>
            <c:strRef>
              <c:f>AACOMAS!$V$19:$V$23</c:f>
              <c:strCache>
                <c:ptCount val="5"/>
                <c:pt idx="0">
                  <c:v>cGPA Freshman</c:v>
                </c:pt>
                <c:pt idx="1">
                  <c:v>cGPA Sophomore</c:v>
                </c:pt>
                <c:pt idx="2">
                  <c:v>cGPA Junior</c:v>
                </c:pt>
                <c:pt idx="3">
                  <c:v>cGPA Senior</c:v>
                </c:pt>
                <c:pt idx="4">
                  <c:v>cGPA PB</c:v>
                </c:pt>
              </c:strCache>
            </c:strRef>
          </c:cat>
          <c:val>
            <c:numRef>
              <c:f>AACOMAS!$W$19:$W$23</c:f>
              <c:numCache>
                <c:formatCode>0.00</c:formatCode>
                <c:ptCount val="5"/>
                <c:pt idx="0">
                  <c:v>3.417241379310345</c:v>
                </c:pt>
                <c:pt idx="1">
                  <c:v>3.246428571428571</c:v>
                </c:pt>
                <c:pt idx="2">
                  <c:v>3.055813953488371</c:v>
                </c:pt>
                <c:pt idx="3">
                  <c:v>2.893805309734513</c:v>
                </c:pt>
                <c:pt idx="4">
                  <c:v>3.366422334697827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94336808"/>
        <c:axId val="1795115944"/>
      </c:barChart>
      <c:catAx>
        <c:axId val="17943368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95115944"/>
        <c:crosses val="autoZero"/>
        <c:auto val="1"/>
        <c:lblAlgn val="ctr"/>
        <c:lblOffset val="100"/>
        <c:noMultiLvlLbl val="0"/>
      </c:catAx>
      <c:valAx>
        <c:axId val="1795115944"/>
        <c:scaling>
          <c:orientation val="minMax"/>
          <c:max val="4.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7943368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63500</xdr:colOff>
      <xdr:row>24</xdr:row>
      <xdr:rowOff>63500</xdr:rowOff>
    </xdr:from>
    <xdr:to>
      <xdr:col>27</xdr:col>
      <xdr:colOff>12700</xdr:colOff>
      <xdr:row>49</xdr:row>
      <xdr:rowOff>127000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ACOMAS_GPA_Retak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structions"/>
      <sheetName val="AMCAS"/>
    </sheetNames>
    <sheetDataSet>
      <sheetData sheetId="0" refreshError="1"/>
      <sheetData sheetId="1">
        <row r="2">
          <cell r="C2" t="str">
            <v>Stars Gal &amp; Universe</v>
          </cell>
          <cell r="G2" t="str">
            <v>A</v>
          </cell>
        </row>
        <row r="3">
          <cell r="G3" t="str">
            <v>A-</v>
          </cell>
        </row>
        <row r="4">
          <cell r="G4" t="str">
            <v>B</v>
          </cell>
        </row>
        <row r="6">
          <cell r="G6" t="str">
            <v>B-</v>
          </cell>
        </row>
        <row r="7">
          <cell r="G7" t="str">
            <v>B</v>
          </cell>
        </row>
        <row r="8">
          <cell r="G8" t="str">
            <v>C</v>
          </cell>
        </row>
        <row r="10">
          <cell r="G10" t="str">
            <v>C-</v>
          </cell>
        </row>
        <row r="11">
          <cell r="G11" t="str">
            <v>B</v>
          </cell>
        </row>
        <row r="12">
          <cell r="G12" t="str">
            <v>B+</v>
          </cell>
        </row>
        <row r="13">
          <cell r="G13" t="str">
            <v>C</v>
          </cell>
        </row>
        <row r="14">
          <cell r="G14" t="str">
            <v>C+</v>
          </cell>
        </row>
        <row r="15">
          <cell r="G15" t="str">
            <v>C-</v>
          </cell>
        </row>
        <row r="16">
          <cell r="G16" t="str">
            <v>B</v>
          </cell>
        </row>
        <row r="18">
          <cell r="G18" t="str">
            <v>B</v>
          </cell>
        </row>
        <row r="21">
          <cell r="G21" t="str">
            <v>S</v>
          </cell>
        </row>
        <row r="22">
          <cell r="G22" t="str">
            <v>A</v>
          </cell>
        </row>
        <row r="24">
          <cell r="G24" t="str">
            <v>B-</v>
          </cell>
        </row>
        <row r="25">
          <cell r="G25" t="str">
            <v>B-</v>
          </cell>
        </row>
        <row r="26">
          <cell r="G26" t="str">
            <v>C</v>
          </cell>
        </row>
        <row r="28">
          <cell r="G28" t="str">
            <v>B</v>
          </cell>
        </row>
        <row r="29">
          <cell r="G29" t="str">
            <v>C</v>
          </cell>
        </row>
        <row r="33">
          <cell r="G33" t="str">
            <v>C+</v>
          </cell>
        </row>
        <row r="34">
          <cell r="G34" t="str">
            <v>C-</v>
          </cell>
        </row>
        <row r="35">
          <cell r="G35" t="str">
            <v>F</v>
          </cell>
        </row>
        <row r="36">
          <cell r="G36" t="str">
            <v>W</v>
          </cell>
        </row>
        <row r="37">
          <cell r="G37" t="str">
            <v>W</v>
          </cell>
        </row>
        <row r="39">
          <cell r="G39" t="str">
            <v>D+</v>
          </cell>
        </row>
        <row r="40">
          <cell r="G40" t="str">
            <v>D+</v>
          </cell>
        </row>
        <row r="41">
          <cell r="G41" t="str">
            <v>F</v>
          </cell>
        </row>
        <row r="42">
          <cell r="G42" t="str">
            <v>F</v>
          </cell>
        </row>
        <row r="44">
          <cell r="G44" t="str">
            <v>A-</v>
          </cell>
        </row>
        <row r="45">
          <cell r="G45" t="str">
            <v>B</v>
          </cell>
        </row>
        <row r="48">
          <cell r="G48" t="str">
            <v>B-</v>
          </cell>
        </row>
        <row r="49">
          <cell r="G49" t="str">
            <v>D-</v>
          </cell>
        </row>
        <row r="50">
          <cell r="G50" t="str">
            <v>B-</v>
          </cell>
        </row>
        <row r="52">
          <cell r="G52" t="str">
            <v>A-</v>
          </cell>
        </row>
        <row r="53">
          <cell r="G53" t="str">
            <v>B+</v>
          </cell>
        </row>
        <row r="54">
          <cell r="G54" t="str">
            <v>B</v>
          </cell>
        </row>
        <row r="55">
          <cell r="G55" t="str">
            <v>A</v>
          </cell>
        </row>
        <row r="56">
          <cell r="G56" t="str">
            <v>B</v>
          </cell>
        </row>
        <row r="57">
          <cell r="G57" t="str">
            <v>A</v>
          </cell>
        </row>
        <row r="58">
          <cell r="G58" t="str">
            <v>B</v>
          </cell>
        </row>
        <row r="59">
          <cell r="G59" t="str">
            <v>A</v>
          </cell>
        </row>
        <row r="60">
          <cell r="G60" t="str">
            <v>B+</v>
          </cell>
        </row>
        <row r="61">
          <cell r="G61" t="str">
            <v>A-</v>
          </cell>
        </row>
        <row r="62">
          <cell r="G62" t="str">
            <v>C</v>
          </cell>
        </row>
        <row r="63">
          <cell r="G63" t="str">
            <v>B</v>
          </cell>
        </row>
        <row r="64">
          <cell r="G64" t="str">
            <v>B</v>
          </cell>
        </row>
        <row r="65">
          <cell r="G65" t="str">
            <v>C+</v>
          </cell>
        </row>
        <row r="66">
          <cell r="G66" t="str">
            <v>B</v>
          </cell>
        </row>
        <row r="67">
          <cell r="G67" t="str">
            <v>A-</v>
          </cell>
        </row>
        <row r="68">
          <cell r="G68" t="str">
            <v>A</v>
          </cell>
        </row>
        <row r="69">
          <cell r="G69" t="str">
            <v>A</v>
          </cell>
        </row>
        <row r="70">
          <cell r="G70" t="str">
            <v>A</v>
          </cell>
        </row>
        <row r="71">
          <cell r="G71" t="str">
            <v>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00FF"/>
    <pageSetUpPr autoPageBreaks="0"/>
  </sheetPr>
  <dimension ref="A1:AA129"/>
  <sheetViews>
    <sheetView tabSelected="1" showRuler="0" zoomScale="75" zoomScaleNormal="75" zoomScalePageLayoutView="75" workbookViewId="0">
      <pane ySplit="1" topLeftCell="A2" activePane="bottomLeft" state="frozen"/>
      <selection pane="bottomLeft" activeCell="P26" sqref="P26"/>
    </sheetView>
  </sheetViews>
  <sheetFormatPr baseColWidth="10" defaultRowHeight="15" x14ac:dyDescent="0"/>
  <cols>
    <col min="1" max="2" width="10.83203125" style="1"/>
    <col min="3" max="3" width="37.33203125" style="3" bestFit="1" customWidth="1"/>
    <col min="4" max="4" width="12.6640625" style="1" customWidth="1"/>
    <col min="5" max="5" width="10.6640625" style="1" customWidth="1"/>
    <col min="6" max="6" width="11.83203125" style="1" customWidth="1"/>
    <col min="7" max="7" width="14.6640625" style="1" customWidth="1"/>
    <col min="8" max="8" width="14.5" style="1" customWidth="1"/>
    <col min="9" max="9" width="19.33203125" style="1" customWidth="1"/>
    <col min="10" max="12" width="10.83203125" style="1"/>
    <col min="13" max="13" width="10.83203125" style="1" customWidth="1"/>
    <col min="14" max="14" width="12.6640625" style="1" customWidth="1"/>
    <col min="15" max="15" width="9.83203125" style="2" customWidth="1"/>
    <col min="16" max="17" width="12.6640625" style="2" customWidth="1"/>
    <col min="18" max="18" width="10.83203125" style="1" customWidth="1"/>
    <col min="19" max="20" width="10.83203125" style="2"/>
    <col min="21" max="21" width="10.83203125" style="1"/>
    <col min="22" max="22" width="16.5" style="1" customWidth="1"/>
    <col min="23" max="24" width="10.83203125" style="1"/>
    <col min="25" max="25" width="17.83203125" style="1" customWidth="1"/>
    <col min="26" max="26" width="10.83203125" style="1"/>
    <col min="27" max="27" width="15.1640625" style="1" customWidth="1"/>
    <col min="28" max="16384" width="10.83203125" style="1"/>
  </cols>
  <sheetData>
    <row r="1" spans="1:27" ht="16" thickBot="1">
      <c r="A1" s="72" t="s">
        <v>76</v>
      </c>
      <c r="B1" s="72" t="s">
        <v>75</v>
      </c>
      <c r="C1" s="72" t="s">
        <v>74</v>
      </c>
      <c r="D1" s="72" t="s">
        <v>73</v>
      </c>
      <c r="E1" s="72" t="s">
        <v>72</v>
      </c>
      <c r="F1" s="71" t="s">
        <v>71</v>
      </c>
      <c r="G1" s="71" t="s">
        <v>70</v>
      </c>
      <c r="H1" s="72" t="s">
        <v>18</v>
      </c>
      <c r="I1" s="71" t="s">
        <v>69</v>
      </c>
      <c r="J1" s="72" t="s">
        <v>68</v>
      </c>
      <c r="K1" s="72" t="s">
        <v>67</v>
      </c>
      <c r="L1" s="71" t="s">
        <v>55</v>
      </c>
      <c r="M1" s="71" t="s">
        <v>66</v>
      </c>
      <c r="N1" s="71" t="s">
        <v>65</v>
      </c>
      <c r="O1" s="70" t="s">
        <v>64</v>
      </c>
      <c r="P1" s="70" t="s">
        <v>63</v>
      </c>
      <c r="Q1" s="70" t="s">
        <v>62</v>
      </c>
      <c r="R1" s="71" t="s">
        <v>61</v>
      </c>
      <c r="S1" s="70" t="s">
        <v>60</v>
      </c>
      <c r="T1" s="70" t="s">
        <v>59</v>
      </c>
      <c r="U1" s="69"/>
      <c r="Z1" s="68"/>
      <c r="AA1" s="68"/>
    </row>
    <row r="2" spans="1:27" s="53" customFormat="1">
      <c r="A2" s="73" t="s">
        <v>77</v>
      </c>
      <c r="B2" s="53" t="str">
        <f t="shared" ref="B2:B21" si="0">IF(N2&gt;=91,"Senior",IF(N2&gt;=61,"Junior",IF(N2&gt;=31,"Sophomore",IF(N2&gt;=0,"Freshman","Error"))))</f>
        <v>Freshman</v>
      </c>
      <c r="C2" s="67" t="s">
        <v>82</v>
      </c>
      <c r="E2" s="53">
        <v>3</v>
      </c>
      <c r="F2" s="53">
        <f t="shared" ref="F2:F33" si="1">IF(D2="x",0,IF(K2=TRUE,IF(E2="",0,VLOOKUP(E2,$E$111:$F$129,2)),E2))</f>
        <v>3</v>
      </c>
      <c r="G2" s="53">
        <f t="shared" ref="G2:G33" si="2">IF(H2="W",0,F2)</f>
        <v>3</v>
      </c>
      <c r="H2" s="53" t="str">
        <f>[1]AMCAS!G2</f>
        <v>A</v>
      </c>
      <c r="I2" s="53">
        <f t="shared" ref="I2:I33" si="3">IF(H2="", 0, VLOOKUP(H2,$A$111:$B$125,2))</f>
        <v>4</v>
      </c>
      <c r="J2" s="53" t="s">
        <v>23</v>
      </c>
      <c r="K2" s="53" t="b">
        <v>0</v>
      </c>
      <c r="L2" s="53">
        <f t="shared" ref="L2:L33" si="4">IF(D2="x",0,I2*F2)</f>
        <v>12</v>
      </c>
      <c r="M2" s="53">
        <f>SUM($L$2:$L2)</f>
        <v>12</v>
      </c>
      <c r="N2" s="53">
        <f>SUM($G$2:$G2)</f>
        <v>3</v>
      </c>
      <c r="O2" s="57">
        <f t="shared" ref="O2:O33" si="5">IF(J2="x",L2,0)</f>
        <v>12</v>
      </c>
      <c r="P2" s="57">
        <f>SUM($O$2:$O2)</f>
        <v>12</v>
      </c>
      <c r="Q2" s="57">
        <f t="shared" ref="Q2:Q33" si="6">(IF(H2="W",0,IF(J2="x",F2,)))</f>
        <v>3</v>
      </c>
      <c r="R2" s="57">
        <f>SUM($Q$2:$Q2)</f>
        <v>3</v>
      </c>
      <c r="S2" s="57">
        <f t="shared" ref="S2:S33" si="7">M2/N2</f>
        <v>4</v>
      </c>
      <c r="T2" s="57">
        <f t="shared" ref="T2:T33" si="8">P2/R2</f>
        <v>4</v>
      </c>
      <c r="V2" s="61" t="s">
        <v>58</v>
      </c>
      <c r="W2" s="60" t="s">
        <v>55</v>
      </c>
      <c r="X2" s="60" t="s">
        <v>54</v>
      </c>
      <c r="Y2" s="59" t="s">
        <v>57</v>
      </c>
      <c r="Z2" s="55"/>
      <c r="AA2" s="66"/>
    </row>
    <row r="3" spans="1:27" s="53" customFormat="1">
      <c r="A3" s="73" t="s">
        <v>77</v>
      </c>
      <c r="B3" s="53" t="str">
        <f t="shared" si="0"/>
        <v>Freshman</v>
      </c>
      <c r="C3" s="67" t="s">
        <v>82</v>
      </c>
      <c r="E3" s="53">
        <v>3</v>
      </c>
      <c r="F3" s="53">
        <f t="shared" si="1"/>
        <v>3</v>
      </c>
      <c r="G3" s="53">
        <f t="shared" si="2"/>
        <v>3</v>
      </c>
      <c r="H3" s="53" t="str">
        <f>[1]AMCAS!G3</f>
        <v>A-</v>
      </c>
      <c r="I3" s="53">
        <f t="shared" si="3"/>
        <v>3.7</v>
      </c>
      <c r="K3" s="53" t="b">
        <v>0</v>
      </c>
      <c r="L3" s="53">
        <f t="shared" si="4"/>
        <v>11.100000000000001</v>
      </c>
      <c r="M3" s="53">
        <f>SUM($L$2:$L3)</f>
        <v>23.1</v>
      </c>
      <c r="N3" s="53">
        <f>SUM($G$2:$G3)</f>
        <v>6</v>
      </c>
      <c r="O3" s="57">
        <f t="shared" si="5"/>
        <v>0</v>
      </c>
      <c r="P3" s="57">
        <f>SUM($O$2:$O3)</f>
        <v>12</v>
      </c>
      <c r="Q3" s="57">
        <f t="shared" si="6"/>
        <v>0</v>
      </c>
      <c r="R3" s="57">
        <f>SUM($Q$2:$Q3)</f>
        <v>3</v>
      </c>
      <c r="S3" s="57">
        <f t="shared" si="7"/>
        <v>3.85</v>
      </c>
      <c r="T3" s="57">
        <f t="shared" si="8"/>
        <v>4</v>
      </c>
      <c r="V3" s="56" t="s">
        <v>52</v>
      </c>
      <c r="W3" s="55">
        <f>SUMIF(B2:B92,"Highschool",L2:L92)</f>
        <v>0</v>
      </c>
      <c r="X3" s="55">
        <f>SUMIF(B2:B92,"Highschool",F2:F92)</f>
        <v>0</v>
      </c>
      <c r="Y3" s="54">
        <f>W3/IF(W3=0,1,X3)</f>
        <v>0</v>
      </c>
      <c r="Z3" s="55"/>
    </row>
    <row r="4" spans="1:27" s="53" customFormat="1">
      <c r="A4" s="73" t="s">
        <v>77</v>
      </c>
      <c r="B4" s="53" t="str">
        <f t="shared" si="0"/>
        <v>Freshman</v>
      </c>
      <c r="C4" s="67" t="s">
        <v>82</v>
      </c>
      <c r="E4" s="53">
        <v>3</v>
      </c>
      <c r="F4" s="53">
        <f t="shared" si="1"/>
        <v>3</v>
      </c>
      <c r="G4" s="53">
        <f t="shared" si="2"/>
        <v>3</v>
      </c>
      <c r="H4" s="53" t="str">
        <f>[1]AMCAS!G4</f>
        <v>B</v>
      </c>
      <c r="I4" s="53">
        <f t="shared" si="3"/>
        <v>3</v>
      </c>
      <c r="K4" s="53" t="b">
        <v>0</v>
      </c>
      <c r="L4" s="53">
        <f t="shared" si="4"/>
        <v>9</v>
      </c>
      <c r="M4" s="53">
        <f>SUM($L$2:$L4)</f>
        <v>32.1</v>
      </c>
      <c r="N4" s="53">
        <f>SUM($G$2:$G4)</f>
        <v>9</v>
      </c>
      <c r="O4" s="57">
        <f t="shared" si="5"/>
        <v>0</v>
      </c>
      <c r="P4" s="57">
        <f>SUM($O$2:$O4)</f>
        <v>12</v>
      </c>
      <c r="Q4" s="57">
        <f t="shared" si="6"/>
        <v>0</v>
      </c>
      <c r="R4" s="57">
        <f>SUM($Q$2:$Q4)</f>
        <v>3</v>
      </c>
      <c r="S4" s="57">
        <f t="shared" si="7"/>
        <v>3.5666666666666669</v>
      </c>
      <c r="T4" s="57">
        <f t="shared" si="8"/>
        <v>4</v>
      </c>
      <c r="V4" s="56" t="s">
        <v>50</v>
      </c>
      <c r="W4" s="55">
        <f>SUMIF(B2:B92,"Freshman",L2:L92)</f>
        <v>99.1</v>
      </c>
      <c r="X4" s="55">
        <f>SUMIF(B2:B92,"Freshman",F2:F92)</f>
        <v>29</v>
      </c>
      <c r="Y4" s="54">
        <f>W4/IF(W4=0,1,X4)</f>
        <v>3.4172413793103447</v>
      </c>
      <c r="Z4" s="55"/>
    </row>
    <row r="5" spans="1:27" s="53" customFormat="1">
      <c r="A5" s="73" t="s">
        <v>77</v>
      </c>
      <c r="B5" s="53" t="str">
        <f t="shared" si="0"/>
        <v>Freshman</v>
      </c>
      <c r="C5" s="67" t="s">
        <v>82</v>
      </c>
      <c r="E5" s="53">
        <v>4</v>
      </c>
      <c r="F5" s="53">
        <f t="shared" si="1"/>
        <v>4</v>
      </c>
      <c r="G5" s="53">
        <f t="shared" si="2"/>
        <v>4</v>
      </c>
      <c r="H5" s="83" t="s">
        <v>14</v>
      </c>
      <c r="I5" s="53">
        <f t="shared" si="3"/>
        <v>4</v>
      </c>
      <c r="K5" s="53" t="b">
        <v>0</v>
      </c>
      <c r="L5" s="53">
        <f t="shared" si="4"/>
        <v>16</v>
      </c>
      <c r="M5" s="53">
        <f>SUM($L$2:$L5)</f>
        <v>48.1</v>
      </c>
      <c r="N5" s="53">
        <f>SUM($G$2:$G5)</f>
        <v>13</v>
      </c>
      <c r="O5" s="57">
        <f t="shared" si="5"/>
        <v>0</v>
      </c>
      <c r="P5" s="57">
        <f>SUM($O$2:$O5)</f>
        <v>12</v>
      </c>
      <c r="Q5" s="57">
        <f t="shared" si="6"/>
        <v>0</v>
      </c>
      <c r="R5" s="57">
        <f>SUM($Q$2:$Q5)</f>
        <v>3</v>
      </c>
      <c r="S5" s="57">
        <f t="shared" si="7"/>
        <v>3.7</v>
      </c>
      <c r="T5" s="57">
        <f t="shared" si="8"/>
        <v>4</v>
      </c>
      <c r="V5" s="56" t="s">
        <v>38</v>
      </c>
      <c r="W5" s="55">
        <f>SUMIF(B2:B92,"Sophomore",L2:L92)</f>
        <v>98.699999999999989</v>
      </c>
      <c r="X5" s="55">
        <f>SUMIF(B2:B92,"Sophomore",F2:F92)</f>
        <v>31</v>
      </c>
      <c r="Y5" s="54">
        <f>W5/IF(W5=0,1,X5)</f>
        <v>3.1838709677419352</v>
      </c>
      <c r="Z5" s="55"/>
    </row>
    <row r="6" spans="1:27" s="53" customFormat="1">
      <c r="A6" s="73" t="s">
        <v>77</v>
      </c>
      <c r="B6" s="53" t="str">
        <f t="shared" si="0"/>
        <v>Freshman</v>
      </c>
      <c r="C6" s="67" t="s">
        <v>82</v>
      </c>
      <c r="E6" s="53">
        <v>3</v>
      </c>
      <c r="F6" s="53">
        <f t="shared" si="1"/>
        <v>3</v>
      </c>
      <c r="G6" s="53">
        <f t="shared" si="2"/>
        <v>3</v>
      </c>
      <c r="H6" s="53" t="str">
        <f>[1]AMCAS!G6</f>
        <v>B-</v>
      </c>
      <c r="I6" s="53">
        <f t="shared" si="3"/>
        <v>2.7</v>
      </c>
      <c r="K6" s="53" t="b">
        <v>0</v>
      </c>
      <c r="L6" s="53">
        <f t="shared" si="4"/>
        <v>8.1000000000000014</v>
      </c>
      <c r="M6" s="53">
        <f>SUM($L$2:$L6)</f>
        <v>56.2</v>
      </c>
      <c r="N6" s="53">
        <f>SUM($G$2:$G6)</f>
        <v>16</v>
      </c>
      <c r="O6" s="57">
        <f t="shared" si="5"/>
        <v>0</v>
      </c>
      <c r="P6" s="57">
        <f>SUM($O$2:$O6)</f>
        <v>12</v>
      </c>
      <c r="Q6" s="57">
        <f t="shared" si="6"/>
        <v>0</v>
      </c>
      <c r="R6" s="57">
        <f>SUM($Q$2:$Q6)</f>
        <v>3</v>
      </c>
      <c r="S6" s="57">
        <f t="shared" si="7"/>
        <v>3.5125000000000002</v>
      </c>
      <c r="T6" s="57">
        <f t="shared" si="8"/>
        <v>4</v>
      </c>
      <c r="V6" s="56" t="s">
        <v>48</v>
      </c>
      <c r="W6" s="55">
        <f>SUMIF(B2:B92,"Junior",L2:L92)</f>
        <v>77</v>
      </c>
      <c r="X6" s="55">
        <f>SUMIF(B2:B92,"Junior",F2:F92)</f>
        <v>35</v>
      </c>
      <c r="Y6" s="54">
        <f>W6/IF(W6=0,1,X6)</f>
        <v>2.2000000000000002</v>
      </c>
      <c r="Z6" s="55"/>
    </row>
    <row r="7" spans="1:27" s="53" customFormat="1" ht="16" thickBot="1">
      <c r="A7" s="73" t="s">
        <v>77</v>
      </c>
      <c r="B7" s="53" t="str">
        <f t="shared" si="0"/>
        <v>Freshman</v>
      </c>
      <c r="C7" s="67" t="s">
        <v>82</v>
      </c>
      <c r="E7" s="53">
        <v>3</v>
      </c>
      <c r="F7" s="53">
        <f t="shared" si="1"/>
        <v>3</v>
      </c>
      <c r="G7" s="53">
        <f t="shared" si="2"/>
        <v>3</v>
      </c>
      <c r="H7" s="53" t="str">
        <f>[1]AMCAS!G7</f>
        <v>B</v>
      </c>
      <c r="I7" s="53">
        <f t="shared" si="3"/>
        <v>3</v>
      </c>
      <c r="K7" s="53" t="b">
        <v>0</v>
      </c>
      <c r="L7" s="53">
        <f t="shared" si="4"/>
        <v>9</v>
      </c>
      <c r="M7" s="53">
        <f>SUM($L$2:$L7)</f>
        <v>65.2</v>
      </c>
      <c r="N7" s="53">
        <f>SUM($G$2:$G7)</f>
        <v>19</v>
      </c>
      <c r="O7" s="57">
        <f t="shared" si="5"/>
        <v>0</v>
      </c>
      <c r="P7" s="57">
        <f>SUM($O$2:$O7)</f>
        <v>12</v>
      </c>
      <c r="Q7" s="57">
        <f t="shared" si="6"/>
        <v>0</v>
      </c>
      <c r="R7" s="57">
        <f>SUM($Q$2:$Q7)</f>
        <v>3</v>
      </c>
      <c r="S7" s="57">
        <f t="shared" si="7"/>
        <v>3.4315789473684211</v>
      </c>
      <c r="T7" s="57">
        <f t="shared" si="8"/>
        <v>4</v>
      </c>
      <c r="V7" s="65" t="s">
        <v>47</v>
      </c>
      <c r="W7" s="64">
        <f>IF(E39="","",SUMIF(B2:B92,"Senior",L2:L92))</f>
        <v>52.2</v>
      </c>
      <c r="X7" s="64">
        <f>IF(E39="","",SUMIF(B2:B92,"Senior",F2:F92))</f>
        <v>18</v>
      </c>
      <c r="Y7" s="63">
        <f>IF(E39="",#N/A,W7/IF(W7=0,1,X7))</f>
        <v>2.9000000000000004</v>
      </c>
    </row>
    <row r="8" spans="1:27" s="53" customFormat="1" ht="16" thickBot="1">
      <c r="A8" s="73" t="s">
        <v>77</v>
      </c>
      <c r="B8" s="53" t="str">
        <f t="shared" si="0"/>
        <v>Freshman</v>
      </c>
      <c r="C8" s="62" t="s">
        <v>32</v>
      </c>
      <c r="D8" s="53" t="s">
        <v>23</v>
      </c>
      <c r="E8" s="53">
        <v>4</v>
      </c>
      <c r="F8" s="53">
        <f t="shared" si="1"/>
        <v>0</v>
      </c>
      <c r="G8" s="53">
        <f t="shared" si="2"/>
        <v>0</v>
      </c>
      <c r="H8" s="53" t="str">
        <f>[1]AMCAS!G8</f>
        <v>C</v>
      </c>
      <c r="I8" s="53">
        <f t="shared" si="3"/>
        <v>2</v>
      </c>
      <c r="K8" s="53" t="b">
        <v>0</v>
      </c>
      <c r="L8" s="53">
        <f t="shared" si="4"/>
        <v>0</v>
      </c>
      <c r="M8" s="53">
        <f>SUM($L$2:$L8)</f>
        <v>65.2</v>
      </c>
      <c r="N8" s="53">
        <f>SUM($G$2:$G8)</f>
        <v>19</v>
      </c>
      <c r="O8" s="57">
        <f t="shared" si="5"/>
        <v>0</v>
      </c>
      <c r="P8" s="57">
        <f>SUM($O$2:$O8)</f>
        <v>12</v>
      </c>
      <c r="Q8" s="57">
        <f t="shared" si="6"/>
        <v>0</v>
      </c>
      <c r="R8" s="57">
        <f>SUM($Q$2:$Q8)</f>
        <v>3</v>
      </c>
      <c r="S8" s="57">
        <f t="shared" si="7"/>
        <v>3.4315789473684211</v>
      </c>
      <c r="T8" s="57">
        <f t="shared" si="8"/>
        <v>4</v>
      </c>
    </row>
    <row r="9" spans="1:27" s="53" customFormat="1">
      <c r="A9" s="73" t="s">
        <v>77</v>
      </c>
      <c r="B9" s="53" t="str">
        <f t="shared" si="0"/>
        <v>Freshman</v>
      </c>
      <c r="C9" s="67" t="s">
        <v>82</v>
      </c>
      <c r="E9" s="53">
        <v>3</v>
      </c>
      <c r="F9" s="53">
        <f t="shared" si="1"/>
        <v>3</v>
      </c>
      <c r="G9" s="53">
        <f t="shared" si="2"/>
        <v>3</v>
      </c>
      <c r="H9" s="83" t="s">
        <v>14</v>
      </c>
      <c r="I9" s="53">
        <f t="shared" si="3"/>
        <v>4</v>
      </c>
      <c r="K9" s="53" t="b">
        <v>0</v>
      </c>
      <c r="L9" s="53">
        <f t="shared" si="4"/>
        <v>12</v>
      </c>
      <c r="M9" s="53">
        <f>SUM($L$2:$L9)</f>
        <v>77.2</v>
      </c>
      <c r="N9" s="53">
        <f>SUM($G$2:$G9)</f>
        <v>22</v>
      </c>
      <c r="O9" s="57">
        <f t="shared" si="5"/>
        <v>0</v>
      </c>
      <c r="P9" s="57">
        <f>SUM($O$2:$O9)</f>
        <v>12</v>
      </c>
      <c r="Q9" s="57">
        <f t="shared" si="6"/>
        <v>0</v>
      </c>
      <c r="R9" s="57">
        <f>SUM($Q$2:$Q9)</f>
        <v>3</v>
      </c>
      <c r="S9" s="57">
        <f t="shared" si="7"/>
        <v>3.5090909090909093</v>
      </c>
      <c r="T9" s="57">
        <f t="shared" si="8"/>
        <v>4</v>
      </c>
      <c r="V9" s="61" t="s">
        <v>56</v>
      </c>
      <c r="W9" s="60" t="s">
        <v>55</v>
      </c>
      <c r="X9" s="60" t="s">
        <v>54</v>
      </c>
      <c r="Y9" s="59" t="s">
        <v>53</v>
      </c>
    </row>
    <row r="10" spans="1:27" s="53" customFormat="1">
      <c r="A10" s="73" t="s">
        <v>77</v>
      </c>
      <c r="B10" s="53" t="str">
        <f t="shared" si="0"/>
        <v>Freshman</v>
      </c>
      <c r="C10" s="58" t="s">
        <v>21</v>
      </c>
      <c r="D10" s="53" t="s">
        <v>23</v>
      </c>
      <c r="E10" s="53">
        <v>4</v>
      </c>
      <c r="F10" s="53">
        <f t="shared" si="1"/>
        <v>0</v>
      </c>
      <c r="G10" s="53">
        <f t="shared" si="2"/>
        <v>0</v>
      </c>
      <c r="H10" s="53" t="str">
        <f>[1]AMCAS!G10</f>
        <v>C-</v>
      </c>
      <c r="I10" s="53">
        <f t="shared" si="3"/>
        <v>1.7</v>
      </c>
      <c r="K10" s="53" t="b">
        <v>0</v>
      </c>
      <c r="L10" s="53">
        <f t="shared" si="4"/>
        <v>0</v>
      </c>
      <c r="M10" s="53">
        <f>SUM($L$2:$L10)</f>
        <v>77.2</v>
      </c>
      <c r="N10" s="53">
        <f>SUM($G$2:$G10)</f>
        <v>22</v>
      </c>
      <c r="O10" s="57">
        <f t="shared" si="5"/>
        <v>0</v>
      </c>
      <c r="P10" s="57">
        <f>SUM($O$2:$O10)</f>
        <v>12</v>
      </c>
      <c r="Q10" s="57">
        <f t="shared" si="6"/>
        <v>0</v>
      </c>
      <c r="R10" s="57">
        <f>SUM($Q$2:$Q10)</f>
        <v>3</v>
      </c>
      <c r="S10" s="57">
        <f t="shared" si="7"/>
        <v>3.5090909090909093</v>
      </c>
      <c r="T10" s="57">
        <f t="shared" si="8"/>
        <v>4</v>
      </c>
      <c r="V10" s="56" t="s">
        <v>52</v>
      </c>
      <c r="W10" s="55">
        <f>SUMIFS(L2:L92,B2:B92,"Highschool",J2:J92,"x")</f>
        <v>0</v>
      </c>
      <c r="X10" s="55">
        <f>SUMIFS(F2:F92,B2:B92,"Highschool",J2:J92,"x")</f>
        <v>0</v>
      </c>
      <c r="Y10" s="54">
        <f>W10/IF(W10=0,1,X10)</f>
        <v>0</v>
      </c>
    </row>
    <row r="11" spans="1:27" s="31" customFormat="1">
      <c r="A11" s="74" t="s">
        <v>77</v>
      </c>
      <c r="B11" s="31" t="str">
        <f t="shared" si="0"/>
        <v>Freshman</v>
      </c>
      <c r="C11" s="52" t="s">
        <v>51</v>
      </c>
      <c r="D11" s="31" t="s">
        <v>23</v>
      </c>
      <c r="E11" s="31">
        <v>4</v>
      </c>
      <c r="F11" s="31">
        <f t="shared" si="1"/>
        <v>0</v>
      </c>
      <c r="G11" s="36">
        <f t="shared" si="2"/>
        <v>0</v>
      </c>
      <c r="H11" s="31" t="str">
        <f>[1]AMCAS!G11</f>
        <v>B</v>
      </c>
      <c r="I11" s="31">
        <f t="shared" si="3"/>
        <v>3</v>
      </c>
      <c r="K11" s="31" t="b">
        <v>0</v>
      </c>
      <c r="L11" s="31">
        <f t="shared" si="4"/>
        <v>0</v>
      </c>
      <c r="M11" s="31">
        <f>SUM($L$2:$L11)</f>
        <v>77.2</v>
      </c>
      <c r="N11" s="36">
        <f>SUM($G$2:$G11)</f>
        <v>22</v>
      </c>
      <c r="O11" s="34">
        <f t="shared" si="5"/>
        <v>0</v>
      </c>
      <c r="P11" s="34">
        <f>SUM($O$2:$O11)</f>
        <v>12</v>
      </c>
      <c r="Q11" s="35">
        <f t="shared" si="6"/>
        <v>0</v>
      </c>
      <c r="R11" s="34">
        <f>SUM($Q$2:$Q11)</f>
        <v>3</v>
      </c>
      <c r="S11" s="34">
        <f t="shared" si="7"/>
        <v>3.5090909090909093</v>
      </c>
      <c r="T11" s="34">
        <f t="shared" si="8"/>
        <v>4</v>
      </c>
      <c r="V11" s="51" t="s">
        <v>50</v>
      </c>
      <c r="W11" s="50">
        <f>SUMIFS(L2:L92,B2:B92,"Freshman",J2:J92,"x")</f>
        <v>24</v>
      </c>
      <c r="X11" s="50">
        <f>SUMIFS(F2:F92,B2:B92,"Freshman",J2:J92,"x")</f>
        <v>7</v>
      </c>
      <c r="Y11" s="49">
        <f>W11/IF(W11=0,1,X11)</f>
        <v>3.4285714285714284</v>
      </c>
    </row>
    <row r="12" spans="1:27" s="31" customFormat="1">
      <c r="A12" s="74" t="s">
        <v>77</v>
      </c>
      <c r="B12" s="31" t="str">
        <f t="shared" si="0"/>
        <v>Freshman</v>
      </c>
      <c r="C12" s="39" t="s">
        <v>83</v>
      </c>
      <c r="E12" s="31">
        <v>3</v>
      </c>
      <c r="F12" s="31">
        <f t="shared" si="1"/>
        <v>3</v>
      </c>
      <c r="G12" s="36">
        <f t="shared" si="2"/>
        <v>3</v>
      </c>
      <c r="H12" s="31" t="str">
        <f>[1]AMCAS!G12</f>
        <v>B+</v>
      </c>
      <c r="I12" s="31">
        <f t="shared" si="3"/>
        <v>3.3</v>
      </c>
      <c r="K12" s="31" t="b">
        <v>0</v>
      </c>
      <c r="L12" s="31">
        <f t="shared" si="4"/>
        <v>9.8999999999999986</v>
      </c>
      <c r="M12" s="31">
        <f>SUM($L$2:$L12)</f>
        <v>87.1</v>
      </c>
      <c r="N12" s="36">
        <f>SUM($G$2:$G12)</f>
        <v>25</v>
      </c>
      <c r="O12" s="34">
        <f t="shared" si="5"/>
        <v>0</v>
      </c>
      <c r="P12" s="34">
        <f>SUM($O$2:$O12)</f>
        <v>12</v>
      </c>
      <c r="Q12" s="35">
        <f t="shared" si="6"/>
        <v>0</v>
      </c>
      <c r="R12" s="34">
        <f>SUM($Q$2:$Q12)</f>
        <v>3</v>
      </c>
      <c r="S12" s="34">
        <f t="shared" si="7"/>
        <v>3.484</v>
      </c>
      <c r="T12" s="34">
        <f t="shared" si="8"/>
        <v>4</v>
      </c>
      <c r="V12" s="51" t="s">
        <v>38</v>
      </c>
      <c r="W12" s="50">
        <f>SUMIFS(L2:L92,B2:B92,"Sophomore",J2:J92,"x")</f>
        <v>0</v>
      </c>
      <c r="X12" s="50">
        <f>SUMIFS(F2:F92,B2:B92,"Sophomore",J2:J92,"x")</f>
        <v>0</v>
      </c>
      <c r="Y12" s="49">
        <f>W12/IF(W12=0,1,X12)</f>
        <v>0</v>
      </c>
    </row>
    <row r="13" spans="1:27" s="31" customFormat="1">
      <c r="A13" s="74" t="s">
        <v>77</v>
      </c>
      <c r="B13" s="31" t="str">
        <f t="shared" si="0"/>
        <v>Freshman</v>
      </c>
      <c r="C13" s="39" t="s">
        <v>49</v>
      </c>
      <c r="D13" s="31" t="s">
        <v>23</v>
      </c>
      <c r="E13" s="31">
        <v>4</v>
      </c>
      <c r="F13" s="31">
        <f t="shared" si="1"/>
        <v>0</v>
      </c>
      <c r="G13" s="36">
        <f t="shared" si="2"/>
        <v>0</v>
      </c>
      <c r="H13" s="31" t="str">
        <f>[1]AMCAS!G13</f>
        <v>C</v>
      </c>
      <c r="I13" s="31">
        <f t="shared" si="3"/>
        <v>2</v>
      </c>
      <c r="K13" s="31" t="b">
        <v>0</v>
      </c>
      <c r="L13" s="31">
        <f t="shared" si="4"/>
        <v>0</v>
      </c>
      <c r="M13" s="31">
        <f>SUM($L$2:$L13)</f>
        <v>87.1</v>
      </c>
      <c r="N13" s="36">
        <f>SUM($G$2:$G13)</f>
        <v>25</v>
      </c>
      <c r="O13" s="34">
        <f t="shared" si="5"/>
        <v>0</v>
      </c>
      <c r="P13" s="34">
        <f>SUM($O$2:$O13)</f>
        <v>12</v>
      </c>
      <c r="Q13" s="35">
        <f t="shared" si="6"/>
        <v>0</v>
      </c>
      <c r="R13" s="34">
        <f>SUM($Q$2:$Q13)</f>
        <v>3</v>
      </c>
      <c r="S13" s="34">
        <f t="shared" si="7"/>
        <v>3.484</v>
      </c>
      <c r="T13" s="34">
        <f t="shared" si="8"/>
        <v>4</v>
      </c>
      <c r="V13" s="51" t="s">
        <v>48</v>
      </c>
      <c r="W13" s="50">
        <f>SUMIFS(L2:L92,B2:B92,"Junior",J2:J92,"x")</f>
        <v>0</v>
      </c>
      <c r="X13" s="50">
        <f>SUMIFS(F2:F92,B2:B92,"Junior",J2:J92,"x")</f>
        <v>0</v>
      </c>
      <c r="Y13" s="49">
        <f>W13/IF(W13=0,1,X13)</f>
        <v>0</v>
      </c>
    </row>
    <row r="14" spans="1:27" s="31" customFormat="1" ht="16" thickBot="1">
      <c r="A14" s="74" t="s">
        <v>77</v>
      </c>
      <c r="B14" s="31" t="str">
        <f t="shared" si="0"/>
        <v>Freshman</v>
      </c>
      <c r="C14" s="39" t="s">
        <v>21</v>
      </c>
      <c r="D14" s="31" t="s">
        <v>23</v>
      </c>
      <c r="E14" s="31">
        <v>4</v>
      </c>
      <c r="F14" s="31">
        <f t="shared" si="1"/>
        <v>0</v>
      </c>
      <c r="G14" s="36">
        <f t="shared" si="2"/>
        <v>0</v>
      </c>
      <c r="H14" s="31" t="str">
        <f>[1]AMCAS!G14</f>
        <v>C+</v>
      </c>
      <c r="I14" s="31">
        <f t="shared" si="3"/>
        <v>2.2999999999999998</v>
      </c>
      <c r="K14" s="31" t="b">
        <v>0</v>
      </c>
      <c r="L14" s="31">
        <f t="shared" si="4"/>
        <v>0</v>
      </c>
      <c r="M14" s="31">
        <f>SUM($L$2:$L14)</f>
        <v>87.1</v>
      </c>
      <c r="N14" s="36">
        <f>SUM($G$2:$G14)</f>
        <v>25</v>
      </c>
      <c r="O14" s="34">
        <f t="shared" si="5"/>
        <v>0</v>
      </c>
      <c r="P14" s="34">
        <f>SUM($O$2:$O14)</f>
        <v>12</v>
      </c>
      <c r="Q14" s="35">
        <f t="shared" si="6"/>
        <v>0</v>
      </c>
      <c r="R14" s="34">
        <f>SUM($Q$2:$Q14)</f>
        <v>3</v>
      </c>
      <c r="S14" s="34">
        <f t="shared" si="7"/>
        <v>3.484</v>
      </c>
      <c r="T14" s="34">
        <f t="shared" si="8"/>
        <v>4</v>
      </c>
      <c r="V14" s="48" t="s">
        <v>47</v>
      </c>
      <c r="W14" s="47">
        <f>IF(E39="","",SUMIFS(L2:L87,B2:B87,"Senior",J2:J87,"x"))</f>
        <v>0</v>
      </c>
      <c r="X14" s="47">
        <f>IF(E39="","",SUMIFS(F2:F92,B2:B92,"Senior",J2:J92,"x"))</f>
        <v>0</v>
      </c>
      <c r="Y14" s="46">
        <f>IF(E39="",#N/A,W14/IF(W14=0,1,X14))</f>
        <v>0</v>
      </c>
    </row>
    <row r="15" spans="1:27" s="31" customFormat="1" ht="16" thickBot="1">
      <c r="A15" s="74" t="s">
        <v>77</v>
      </c>
      <c r="B15" s="31" t="str">
        <f t="shared" si="0"/>
        <v>Freshman</v>
      </c>
      <c r="C15" s="39" t="s">
        <v>33</v>
      </c>
      <c r="D15" s="31" t="s">
        <v>23</v>
      </c>
      <c r="E15" s="31">
        <v>3</v>
      </c>
      <c r="F15" s="31">
        <f t="shared" si="1"/>
        <v>0</v>
      </c>
      <c r="G15" s="36">
        <f t="shared" si="2"/>
        <v>0</v>
      </c>
      <c r="H15" s="31" t="str">
        <f>[1]AMCAS!G15</f>
        <v>C-</v>
      </c>
      <c r="I15" s="31">
        <f t="shared" si="3"/>
        <v>1.7</v>
      </c>
      <c r="K15" s="31" t="b">
        <v>0</v>
      </c>
      <c r="L15" s="31">
        <f t="shared" si="4"/>
        <v>0</v>
      </c>
      <c r="M15" s="31">
        <f>SUM($L$2:$L15)</f>
        <v>87.1</v>
      </c>
      <c r="N15" s="36">
        <f>SUM($G$2:$G15)</f>
        <v>25</v>
      </c>
      <c r="O15" s="34">
        <f t="shared" si="5"/>
        <v>0</v>
      </c>
      <c r="P15" s="34">
        <f>SUM($O$2:$O15)</f>
        <v>12</v>
      </c>
      <c r="Q15" s="35">
        <f t="shared" si="6"/>
        <v>0</v>
      </c>
      <c r="R15" s="34">
        <f>SUM($Q$2:$Q15)</f>
        <v>3</v>
      </c>
      <c r="S15" s="34">
        <f t="shared" si="7"/>
        <v>3.484</v>
      </c>
      <c r="T15" s="34">
        <f t="shared" si="8"/>
        <v>4</v>
      </c>
    </row>
    <row r="16" spans="1:27" s="31" customFormat="1">
      <c r="A16" s="74" t="s">
        <v>77</v>
      </c>
      <c r="B16" s="31" t="str">
        <f t="shared" si="0"/>
        <v>Freshman</v>
      </c>
      <c r="C16" s="39" t="s">
        <v>83</v>
      </c>
      <c r="E16" s="31">
        <v>4</v>
      </c>
      <c r="F16" s="31">
        <f t="shared" si="1"/>
        <v>4</v>
      </c>
      <c r="G16" s="36">
        <f t="shared" si="2"/>
        <v>4</v>
      </c>
      <c r="H16" s="31" t="str">
        <f>[1]AMCAS!G16</f>
        <v>B</v>
      </c>
      <c r="I16" s="31">
        <f t="shared" si="3"/>
        <v>3</v>
      </c>
      <c r="J16" s="31" t="s">
        <v>23</v>
      </c>
      <c r="K16" s="31" t="b">
        <v>0</v>
      </c>
      <c r="L16" s="31">
        <f t="shared" si="4"/>
        <v>12</v>
      </c>
      <c r="M16" s="31">
        <f>SUM($L$2:$L16)</f>
        <v>99.1</v>
      </c>
      <c r="N16" s="36">
        <f>SUM($G$2:$G16)</f>
        <v>29</v>
      </c>
      <c r="O16" s="34">
        <f t="shared" si="5"/>
        <v>12</v>
      </c>
      <c r="P16" s="34">
        <f>SUM($O$2:$O16)</f>
        <v>24</v>
      </c>
      <c r="Q16" s="35">
        <f t="shared" si="6"/>
        <v>4</v>
      </c>
      <c r="R16" s="34">
        <f>SUM($Q$2:$Q16)</f>
        <v>7</v>
      </c>
      <c r="S16" s="34">
        <f t="shared" si="7"/>
        <v>3.4172413793103447</v>
      </c>
      <c r="T16" s="34">
        <f t="shared" si="8"/>
        <v>3.4285714285714284</v>
      </c>
      <c r="V16" s="45" t="s">
        <v>46</v>
      </c>
      <c r="W16" s="44">
        <f>M92/N92</f>
        <v>3.3664223346978273</v>
      </c>
    </row>
    <row r="17" spans="1:26" s="31" customFormat="1" ht="16" thickBot="1">
      <c r="A17" s="74" t="s">
        <v>77</v>
      </c>
      <c r="B17" s="31" t="str">
        <f t="shared" si="0"/>
        <v>Sophomore</v>
      </c>
      <c r="C17" s="39" t="s">
        <v>83</v>
      </c>
      <c r="E17" s="31">
        <v>3</v>
      </c>
      <c r="F17" s="31">
        <f t="shared" si="1"/>
        <v>3</v>
      </c>
      <c r="G17" s="36">
        <f t="shared" si="2"/>
        <v>3</v>
      </c>
      <c r="H17" s="84" t="s">
        <v>13</v>
      </c>
      <c r="I17" s="31">
        <f t="shared" si="3"/>
        <v>3.7</v>
      </c>
      <c r="K17" s="31" t="b">
        <v>0</v>
      </c>
      <c r="L17" s="31">
        <f t="shared" si="4"/>
        <v>11.100000000000001</v>
      </c>
      <c r="M17" s="31">
        <f>SUM($L$2:$L17)</f>
        <v>110.19999999999999</v>
      </c>
      <c r="N17" s="36">
        <f>SUM($G$2:$G17)</f>
        <v>32</v>
      </c>
      <c r="O17" s="34">
        <f t="shared" si="5"/>
        <v>0</v>
      </c>
      <c r="P17" s="34">
        <f>SUM($O$2:$O17)</f>
        <v>24</v>
      </c>
      <c r="Q17" s="35">
        <f t="shared" si="6"/>
        <v>0</v>
      </c>
      <c r="R17" s="34">
        <f>SUM($Q$2:$Q17)</f>
        <v>7</v>
      </c>
      <c r="S17" s="34">
        <f t="shared" si="7"/>
        <v>3.4437499999999996</v>
      </c>
      <c r="T17" s="34">
        <f t="shared" si="8"/>
        <v>3.4285714285714284</v>
      </c>
      <c r="V17" s="43" t="s">
        <v>45</v>
      </c>
      <c r="W17" s="42">
        <f>(SUM(O2:O92)/SUM(Q2:Q92))</f>
        <v>3.6162536531904528</v>
      </c>
    </row>
    <row r="18" spans="1:26" s="31" customFormat="1">
      <c r="A18" s="74" t="s">
        <v>77</v>
      </c>
      <c r="B18" s="31" t="str">
        <f t="shared" si="0"/>
        <v>Sophomore</v>
      </c>
      <c r="C18" s="39" t="s">
        <v>83</v>
      </c>
      <c r="E18" s="31">
        <v>3</v>
      </c>
      <c r="F18" s="31">
        <f t="shared" si="1"/>
        <v>3</v>
      </c>
      <c r="G18" s="36">
        <f t="shared" si="2"/>
        <v>3</v>
      </c>
      <c r="H18" s="31" t="str">
        <f>[1]AMCAS!G18</f>
        <v>B</v>
      </c>
      <c r="I18" s="31">
        <f t="shared" si="3"/>
        <v>3</v>
      </c>
      <c r="K18" s="31" t="b">
        <v>0</v>
      </c>
      <c r="L18" s="31">
        <f t="shared" si="4"/>
        <v>9</v>
      </c>
      <c r="M18" s="31">
        <f>SUM($L$2:$L18)</f>
        <v>119.19999999999999</v>
      </c>
      <c r="N18" s="36">
        <f>SUM($G$2:$G18)</f>
        <v>35</v>
      </c>
      <c r="O18" s="34">
        <f t="shared" si="5"/>
        <v>0</v>
      </c>
      <c r="P18" s="34">
        <f>SUM($O$2:$O18)</f>
        <v>24</v>
      </c>
      <c r="Q18" s="35">
        <f t="shared" si="6"/>
        <v>0</v>
      </c>
      <c r="R18" s="34">
        <f>SUM($Q$2:$Q18)</f>
        <v>7</v>
      </c>
      <c r="S18" s="34">
        <f t="shared" si="7"/>
        <v>3.4057142857142852</v>
      </c>
      <c r="T18" s="34">
        <f t="shared" si="8"/>
        <v>3.4285714285714284</v>
      </c>
    </row>
    <row r="19" spans="1:26" s="31" customFormat="1">
      <c r="A19" s="74" t="s">
        <v>77</v>
      </c>
      <c r="B19" s="31" t="str">
        <f t="shared" si="0"/>
        <v>Sophomore</v>
      </c>
      <c r="C19" s="39" t="s">
        <v>83</v>
      </c>
      <c r="E19" s="31">
        <v>2</v>
      </c>
      <c r="F19" s="31">
        <f t="shared" si="1"/>
        <v>2</v>
      </c>
      <c r="G19" s="36">
        <f t="shared" si="2"/>
        <v>2</v>
      </c>
      <c r="H19" s="84" t="s">
        <v>14</v>
      </c>
      <c r="I19" s="31">
        <f t="shared" si="3"/>
        <v>4</v>
      </c>
      <c r="K19" s="31" t="b">
        <v>0</v>
      </c>
      <c r="L19" s="31">
        <f t="shared" si="4"/>
        <v>8</v>
      </c>
      <c r="M19" s="31">
        <f>SUM($L$2:$L19)</f>
        <v>127.19999999999999</v>
      </c>
      <c r="N19" s="36">
        <f>SUM($G$2:$G19)</f>
        <v>37</v>
      </c>
      <c r="O19" s="34">
        <f t="shared" si="5"/>
        <v>0</v>
      </c>
      <c r="P19" s="34">
        <f>SUM($O$2:$O19)</f>
        <v>24</v>
      </c>
      <c r="Q19" s="35">
        <f t="shared" si="6"/>
        <v>0</v>
      </c>
      <c r="R19" s="34">
        <f>SUM($Q$2:$Q19)</f>
        <v>7</v>
      </c>
      <c r="S19" s="34">
        <f t="shared" si="7"/>
        <v>3.4378378378378374</v>
      </c>
      <c r="T19" s="34">
        <f t="shared" si="8"/>
        <v>3.4285714285714284</v>
      </c>
      <c r="V19" s="41" t="s">
        <v>44</v>
      </c>
      <c r="W19" s="40">
        <f>SUM(L2:L16)/SUM(F2:F16)</f>
        <v>3.4172413793103447</v>
      </c>
      <c r="Y19" s="41" t="s">
        <v>43</v>
      </c>
      <c r="Z19" s="40">
        <f>SUMIF(J2:J10,"x",L2:L10)/SUMIF(J2:J10,"x",F2:F10)</f>
        <v>4</v>
      </c>
    </row>
    <row r="20" spans="1:26" s="31" customFormat="1">
      <c r="A20" s="74" t="s">
        <v>77</v>
      </c>
      <c r="B20" s="31" t="str">
        <f t="shared" si="0"/>
        <v>Sophomore</v>
      </c>
      <c r="C20" s="39" t="s">
        <v>83</v>
      </c>
      <c r="E20" s="31">
        <v>3</v>
      </c>
      <c r="F20" s="31">
        <f t="shared" si="1"/>
        <v>3</v>
      </c>
      <c r="G20" s="36">
        <f t="shared" si="2"/>
        <v>3</v>
      </c>
      <c r="H20" s="84" t="s">
        <v>14</v>
      </c>
      <c r="I20" s="31">
        <f t="shared" si="3"/>
        <v>4</v>
      </c>
      <c r="K20" s="31" t="b">
        <v>0</v>
      </c>
      <c r="L20" s="31">
        <f t="shared" si="4"/>
        <v>12</v>
      </c>
      <c r="M20" s="31">
        <f>SUM($L$2:$L20)</f>
        <v>139.19999999999999</v>
      </c>
      <c r="N20" s="36">
        <f>SUM($G$2:$G20)</f>
        <v>40</v>
      </c>
      <c r="O20" s="34">
        <f t="shared" si="5"/>
        <v>0</v>
      </c>
      <c r="P20" s="34">
        <f>SUM($O$2:$O20)</f>
        <v>24</v>
      </c>
      <c r="Q20" s="35">
        <f t="shared" si="6"/>
        <v>0</v>
      </c>
      <c r="R20" s="34">
        <f>SUM($Q$2:$Q20)</f>
        <v>7</v>
      </c>
      <c r="S20" s="34">
        <f t="shared" si="7"/>
        <v>3.4799999999999995</v>
      </c>
      <c r="T20" s="34">
        <f t="shared" si="8"/>
        <v>3.4285714285714284</v>
      </c>
      <c r="V20" s="38" t="s">
        <v>42</v>
      </c>
      <c r="W20" s="37">
        <f>SUM(L2:L27)/SUM(F2:F27)</f>
        <v>3.246428571428571</v>
      </c>
      <c r="Y20" s="38" t="s">
        <v>41</v>
      </c>
      <c r="Z20" s="37">
        <f>SUMIF(J2:J21,"x",L2:L21)/SUMIF(J2:J21,"x",F2:F21)</f>
        <v>3.4285714285714284</v>
      </c>
    </row>
    <row r="21" spans="1:26" s="31" customFormat="1">
      <c r="A21" s="74" t="s">
        <v>77</v>
      </c>
      <c r="B21" s="31" t="str">
        <f t="shared" si="0"/>
        <v>Sophomore</v>
      </c>
      <c r="C21" s="39" t="s">
        <v>83</v>
      </c>
      <c r="E21" s="31">
        <v>1</v>
      </c>
      <c r="F21" s="31">
        <f t="shared" si="1"/>
        <v>1</v>
      </c>
      <c r="G21" s="36">
        <f t="shared" si="2"/>
        <v>1</v>
      </c>
      <c r="H21" s="31" t="str">
        <f>[1]AMCAS!G21</f>
        <v>S</v>
      </c>
      <c r="I21" s="31">
        <f t="shared" si="3"/>
        <v>0</v>
      </c>
      <c r="K21" s="31" t="b">
        <v>0</v>
      </c>
      <c r="L21" s="31">
        <f t="shared" si="4"/>
        <v>0</v>
      </c>
      <c r="M21" s="31">
        <f>SUM($L$2:$L21)</f>
        <v>139.19999999999999</v>
      </c>
      <c r="N21" s="36">
        <f>SUM($G$2:$G21)</f>
        <v>41</v>
      </c>
      <c r="O21" s="34">
        <f t="shared" si="5"/>
        <v>0</v>
      </c>
      <c r="P21" s="34">
        <f>SUM($O$2:$O21)</f>
        <v>24</v>
      </c>
      <c r="Q21" s="35">
        <f t="shared" si="6"/>
        <v>0</v>
      </c>
      <c r="R21" s="34">
        <f>SUM($Q$2:$Q21)</f>
        <v>7</v>
      </c>
      <c r="S21" s="34">
        <f t="shared" si="7"/>
        <v>3.3951219512195121</v>
      </c>
      <c r="T21" s="34">
        <f t="shared" si="8"/>
        <v>3.4285714285714284</v>
      </c>
      <c r="V21" s="38" t="s">
        <v>40</v>
      </c>
      <c r="W21" s="37">
        <f>SUM(L2:L38)/SUM(F2:F38)</f>
        <v>3.0558139534883715</v>
      </c>
      <c r="Y21" s="38" t="s">
        <v>39</v>
      </c>
      <c r="Z21" s="37">
        <f>SUMIF(J2:J33,"x",L2:L33)/SUMIF(J2:J33,"x",F2:F33)</f>
        <v>3.4285714285714284</v>
      </c>
    </row>
    <row r="22" spans="1:26" s="31" customFormat="1" ht="16" thickBot="1">
      <c r="A22" s="74" t="s">
        <v>78</v>
      </c>
      <c r="B22" s="31" t="s">
        <v>38</v>
      </c>
      <c r="C22" s="39" t="s">
        <v>83</v>
      </c>
      <c r="E22" s="31">
        <v>3</v>
      </c>
      <c r="F22" s="31">
        <f t="shared" si="1"/>
        <v>3</v>
      </c>
      <c r="G22" s="36">
        <f t="shared" si="2"/>
        <v>3</v>
      </c>
      <c r="H22" s="31" t="s">
        <v>11</v>
      </c>
      <c r="I22" s="31">
        <f t="shared" si="3"/>
        <v>3</v>
      </c>
      <c r="K22" s="31" t="b">
        <v>0</v>
      </c>
      <c r="L22" s="31">
        <f t="shared" si="4"/>
        <v>9</v>
      </c>
      <c r="M22" s="31">
        <f>SUM($L$2:$L22)</f>
        <v>148.19999999999999</v>
      </c>
      <c r="N22" s="36">
        <f>SUM($G$2:$G22)</f>
        <v>44</v>
      </c>
      <c r="O22" s="34">
        <f t="shared" si="5"/>
        <v>0</v>
      </c>
      <c r="P22" s="34">
        <f>SUM($O$2:$O22)</f>
        <v>24</v>
      </c>
      <c r="Q22" s="35">
        <f t="shared" si="6"/>
        <v>0</v>
      </c>
      <c r="R22" s="34">
        <f>SUM($Q$2:$Q22)</f>
        <v>7</v>
      </c>
      <c r="S22" s="34">
        <f t="shared" si="7"/>
        <v>3.3681818181818177</v>
      </c>
      <c r="T22" s="34">
        <f t="shared" si="8"/>
        <v>3.4285714285714284</v>
      </c>
      <c r="V22" s="33" t="s">
        <v>37</v>
      </c>
      <c r="W22" s="32">
        <f>IF(E39="",#N/A,SUM(L2:L51)/SUM(F2:F51))</f>
        <v>2.8938053097345131</v>
      </c>
      <c r="X22" s="26"/>
      <c r="Y22" s="33" t="s">
        <v>36</v>
      </c>
      <c r="Z22" s="32">
        <f>IF(E39="",#N/A,SUMIF(J2:J51,"x",L2:L51)/SUMIF(J2:J51,"x",F2:F51))</f>
        <v>3.4285714285714284</v>
      </c>
    </row>
    <row r="23" spans="1:26" s="26" customFormat="1">
      <c r="A23" s="75" t="s">
        <v>77</v>
      </c>
      <c r="B23" s="26" t="str">
        <f t="shared" ref="B23:B34" si="9">IF(N23&gt;=91,"Senior",IF(N23&gt;=61,"Junior",IF(N23&gt;=31,"Sophomore",IF(N23&gt;=0,"Freshman","Error"))))</f>
        <v>Sophomore</v>
      </c>
      <c r="C23" s="30" t="s">
        <v>84</v>
      </c>
      <c r="E23" s="26">
        <v>1</v>
      </c>
      <c r="F23" s="26">
        <f t="shared" si="1"/>
        <v>1</v>
      </c>
      <c r="G23" s="26">
        <f t="shared" si="2"/>
        <v>1</v>
      </c>
      <c r="H23" s="26" t="str">
        <f>[1]AMCAS!G22</f>
        <v>A</v>
      </c>
      <c r="I23" s="26">
        <f t="shared" si="3"/>
        <v>4</v>
      </c>
      <c r="K23" s="26" t="b">
        <v>0</v>
      </c>
      <c r="L23" s="26">
        <f t="shared" si="4"/>
        <v>4</v>
      </c>
      <c r="M23" s="26">
        <f>SUM($L$2:$L23)</f>
        <v>152.19999999999999</v>
      </c>
      <c r="N23" s="26">
        <f>SUM($G$2:$G23)</f>
        <v>45</v>
      </c>
      <c r="O23" s="27">
        <f t="shared" si="5"/>
        <v>0</v>
      </c>
      <c r="P23" s="27">
        <f>SUM($O$2:$O23)</f>
        <v>24</v>
      </c>
      <c r="Q23" s="27">
        <f t="shared" si="6"/>
        <v>0</v>
      </c>
      <c r="R23" s="27">
        <f>SUM($Q$2:$Q23)</f>
        <v>7</v>
      </c>
      <c r="S23" s="27">
        <f t="shared" si="7"/>
        <v>3.382222222222222</v>
      </c>
      <c r="T23" s="27">
        <f t="shared" si="8"/>
        <v>3.4285714285714284</v>
      </c>
      <c r="V23" s="29" t="s">
        <v>35</v>
      </c>
      <c r="W23" s="28">
        <f>SUM(L2:L92)/SUM(G2:G92)</f>
        <v>3.3664223346978273</v>
      </c>
      <c r="Y23" s="29" t="s">
        <v>34</v>
      </c>
      <c r="Z23" s="28">
        <f>SUM(O52:O92)/SUM(Q52:Q92)</f>
        <v>3.6386363636363641</v>
      </c>
    </row>
    <row r="24" spans="1:26" s="26" customFormat="1">
      <c r="A24" s="75" t="s">
        <v>77</v>
      </c>
      <c r="B24" s="26" t="str">
        <f t="shared" si="9"/>
        <v>Sophomore</v>
      </c>
      <c r="C24" s="30" t="s">
        <v>84</v>
      </c>
      <c r="E24" s="26">
        <v>2</v>
      </c>
      <c r="F24" s="26">
        <f t="shared" si="1"/>
        <v>2</v>
      </c>
      <c r="G24" s="26">
        <f t="shared" si="2"/>
        <v>2</v>
      </c>
      <c r="H24" s="85" t="s">
        <v>13</v>
      </c>
      <c r="I24" s="26">
        <f t="shared" si="3"/>
        <v>3.7</v>
      </c>
      <c r="K24" s="26" t="b">
        <v>0</v>
      </c>
      <c r="L24" s="26">
        <f t="shared" si="4"/>
        <v>7.4</v>
      </c>
      <c r="M24" s="26">
        <f>SUM($L$2:$L24)</f>
        <v>159.6</v>
      </c>
      <c r="N24" s="26">
        <f>SUM($G$2:$G24)</f>
        <v>47</v>
      </c>
      <c r="O24" s="27">
        <f t="shared" si="5"/>
        <v>0</v>
      </c>
      <c r="P24" s="27">
        <f>SUM($O$2:$O24)</f>
        <v>24</v>
      </c>
      <c r="Q24" s="27">
        <f t="shared" si="6"/>
        <v>0</v>
      </c>
      <c r="R24" s="27">
        <f>SUM($Q$2:$Q24)</f>
        <v>7</v>
      </c>
      <c r="S24" s="27">
        <f t="shared" si="7"/>
        <v>3.3957446808510636</v>
      </c>
      <c r="T24" s="27">
        <f t="shared" si="8"/>
        <v>3.4285714285714284</v>
      </c>
    </row>
    <row r="25" spans="1:26" s="26" customFormat="1">
      <c r="A25" s="75" t="s">
        <v>77</v>
      </c>
      <c r="B25" s="26" t="str">
        <f t="shared" si="9"/>
        <v>Sophomore</v>
      </c>
      <c r="C25" s="30" t="s">
        <v>84</v>
      </c>
      <c r="E25" s="26">
        <v>3</v>
      </c>
      <c r="F25" s="26">
        <f t="shared" si="1"/>
        <v>3</v>
      </c>
      <c r="G25" s="26">
        <f t="shared" si="2"/>
        <v>3</v>
      </c>
      <c r="H25" s="26" t="str">
        <f>[1]AMCAS!G24</f>
        <v>B-</v>
      </c>
      <c r="I25" s="26">
        <f t="shared" si="3"/>
        <v>2.7</v>
      </c>
      <c r="K25" s="26" t="b">
        <v>0</v>
      </c>
      <c r="L25" s="26">
        <f t="shared" si="4"/>
        <v>8.1000000000000014</v>
      </c>
      <c r="M25" s="26">
        <f>SUM($L$2:$L25)</f>
        <v>167.7</v>
      </c>
      <c r="N25" s="26">
        <f>SUM($G$2:$G25)</f>
        <v>50</v>
      </c>
      <c r="O25" s="27">
        <f t="shared" si="5"/>
        <v>0</v>
      </c>
      <c r="P25" s="27">
        <f>SUM($O$2:$O25)</f>
        <v>24</v>
      </c>
      <c r="Q25" s="27">
        <f t="shared" si="6"/>
        <v>0</v>
      </c>
      <c r="R25" s="27">
        <f>SUM($Q$2:$Q25)</f>
        <v>7</v>
      </c>
      <c r="S25" s="27">
        <f t="shared" si="7"/>
        <v>3.3539999999999996</v>
      </c>
      <c r="T25" s="27">
        <f t="shared" si="8"/>
        <v>3.4285714285714284</v>
      </c>
    </row>
    <row r="26" spans="1:26" s="26" customFormat="1">
      <c r="A26" s="75" t="s">
        <v>77</v>
      </c>
      <c r="B26" s="26" t="str">
        <f t="shared" si="9"/>
        <v>Sophomore</v>
      </c>
      <c r="C26" s="30" t="s">
        <v>84</v>
      </c>
      <c r="E26" s="26">
        <v>3</v>
      </c>
      <c r="F26" s="26">
        <f t="shared" si="1"/>
        <v>3</v>
      </c>
      <c r="G26" s="26">
        <f t="shared" si="2"/>
        <v>3</v>
      </c>
      <c r="H26" s="26" t="str">
        <f>[1]AMCAS!G25</f>
        <v>B-</v>
      </c>
      <c r="I26" s="26">
        <f t="shared" si="3"/>
        <v>2.7</v>
      </c>
      <c r="K26" s="26" t="b">
        <v>0</v>
      </c>
      <c r="L26" s="26">
        <f t="shared" si="4"/>
        <v>8.1000000000000014</v>
      </c>
      <c r="M26" s="26">
        <f>SUM($L$2:$L26)</f>
        <v>175.79999999999998</v>
      </c>
      <c r="N26" s="26">
        <f>SUM($G$2:$G26)</f>
        <v>53</v>
      </c>
      <c r="O26" s="27">
        <f t="shared" si="5"/>
        <v>0</v>
      </c>
      <c r="P26" s="27">
        <f>SUM($O$2:$O26)</f>
        <v>24</v>
      </c>
      <c r="Q26" s="27">
        <f t="shared" si="6"/>
        <v>0</v>
      </c>
      <c r="R26" s="27">
        <f>SUM($Q$2:$Q26)</f>
        <v>7</v>
      </c>
      <c r="S26" s="27">
        <f t="shared" si="7"/>
        <v>3.3169811320754712</v>
      </c>
      <c r="T26" s="27">
        <f t="shared" si="8"/>
        <v>3.4285714285714284</v>
      </c>
    </row>
    <row r="27" spans="1:26" s="26" customFormat="1">
      <c r="A27" s="75" t="s">
        <v>77</v>
      </c>
      <c r="B27" s="26" t="str">
        <f t="shared" si="9"/>
        <v>Sophomore</v>
      </c>
      <c r="C27" s="30" t="s">
        <v>84</v>
      </c>
      <c r="E27" s="26">
        <v>3</v>
      </c>
      <c r="F27" s="26">
        <f t="shared" si="1"/>
        <v>3</v>
      </c>
      <c r="G27" s="26">
        <f t="shared" si="2"/>
        <v>3</v>
      </c>
      <c r="H27" s="26" t="str">
        <f>[1]AMCAS!G26</f>
        <v>C</v>
      </c>
      <c r="I27" s="26">
        <f t="shared" si="3"/>
        <v>2</v>
      </c>
      <c r="K27" s="26" t="b">
        <v>0</v>
      </c>
      <c r="L27" s="26">
        <f t="shared" si="4"/>
        <v>6</v>
      </c>
      <c r="M27" s="26">
        <f>SUM($L$2:$L27)</f>
        <v>181.79999999999998</v>
      </c>
      <c r="N27" s="26">
        <f>SUM($G$2:$G27)</f>
        <v>56</v>
      </c>
      <c r="O27" s="27">
        <f t="shared" si="5"/>
        <v>0</v>
      </c>
      <c r="P27" s="27">
        <f>SUM($O$2:$O27)</f>
        <v>24</v>
      </c>
      <c r="Q27" s="27">
        <f t="shared" si="6"/>
        <v>0</v>
      </c>
      <c r="R27" s="27">
        <f>SUM($Q$2:$Q27)</f>
        <v>7</v>
      </c>
      <c r="S27" s="27">
        <f t="shared" si="7"/>
        <v>3.246428571428571</v>
      </c>
      <c r="T27" s="27">
        <f t="shared" si="8"/>
        <v>3.4285714285714284</v>
      </c>
    </row>
    <row r="28" spans="1:26" s="26" customFormat="1">
      <c r="A28" s="75" t="s">
        <v>77</v>
      </c>
      <c r="B28" s="26" t="str">
        <f t="shared" si="9"/>
        <v>Sophomore</v>
      </c>
      <c r="C28" s="30" t="s">
        <v>84</v>
      </c>
      <c r="E28" s="26">
        <v>4</v>
      </c>
      <c r="F28" s="26">
        <f t="shared" si="1"/>
        <v>4</v>
      </c>
      <c r="G28" s="26">
        <f t="shared" si="2"/>
        <v>4</v>
      </c>
      <c r="H28" s="85" t="s">
        <v>14</v>
      </c>
      <c r="I28" s="26">
        <f t="shared" si="3"/>
        <v>4</v>
      </c>
      <c r="K28" s="26" t="b">
        <v>0</v>
      </c>
      <c r="L28" s="26">
        <f t="shared" si="4"/>
        <v>16</v>
      </c>
      <c r="M28" s="26">
        <f>SUM($L$2:$L28)</f>
        <v>197.79999999999998</v>
      </c>
      <c r="N28" s="26">
        <f>SUM($G$2:$G28)</f>
        <v>60</v>
      </c>
      <c r="O28" s="27">
        <f t="shared" si="5"/>
        <v>0</v>
      </c>
      <c r="P28" s="27">
        <f>SUM($O$2:$O28)</f>
        <v>24</v>
      </c>
      <c r="Q28" s="27">
        <f t="shared" si="6"/>
        <v>0</v>
      </c>
      <c r="R28" s="27">
        <f>SUM($Q$2:$Q28)</f>
        <v>7</v>
      </c>
      <c r="S28" s="27">
        <f t="shared" si="7"/>
        <v>3.2966666666666664</v>
      </c>
      <c r="T28" s="27">
        <f t="shared" si="8"/>
        <v>3.4285714285714284</v>
      </c>
    </row>
    <row r="29" spans="1:26" s="26" customFormat="1">
      <c r="A29" s="75" t="s">
        <v>77</v>
      </c>
      <c r="B29" s="26" t="str">
        <f t="shared" si="9"/>
        <v>Junior</v>
      </c>
      <c r="C29" s="30" t="s">
        <v>84</v>
      </c>
      <c r="E29" s="26">
        <v>3</v>
      </c>
      <c r="F29" s="26">
        <f t="shared" si="1"/>
        <v>3</v>
      </c>
      <c r="G29" s="26">
        <f t="shared" si="2"/>
        <v>3</v>
      </c>
      <c r="H29" s="26" t="str">
        <f>[1]AMCAS!G28</f>
        <v>B</v>
      </c>
      <c r="I29" s="26">
        <f t="shared" si="3"/>
        <v>3</v>
      </c>
      <c r="K29" s="26" t="b">
        <v>0</v>
      </c>
      <c r="L29" s="26">
        <f t="shared" si="4"/>
        <v>9</v>
      </c>
      <c r="M29" s="26">
        <f>SUM($L$2:$L29)</f>
        <v>206.79999999999998</v>
      </c>
      <c r="N29" s="26">
        <f>SUM($G$2:$G29)</f>
        <v>63</v>
      </c>
      <c r="O29" s="27">
        <f t="shared" si="5"/>
        <v>0</v>
      </c>
      <c r="P29" s="27">
        <f>SUM($O$2:$O29)</f>
        <v>24</v>
      </c>
      <c r="Q29" s="27">
        <f t="shared" si="6"/>
        <v>0</v>
      </c>
      <c r="R29" s="27">
        <f>SUM($Q$2:$Q29)</f>
        <v>7</v>
      </c>
      <c r="S29" s="27">
        <f t="shared" si="7"/>
        <v>3.2825396825396824</v>
      </c>
      <c r="T29" s="27">
        <f t="shared" si="8"/>
        <v>3.4285714285714284</v>
      </c>
    </row>
    <row r="30" spans="1:26" s="26" customFormat="1">
      <c r="A30" s="75" t="s">
        <v>77</v>
      </c>
      <c r="B30" s="26" t="str">
        <f t="shared" si="9"/>
        <v>Junior</v>
      </c>
      <c r="C30" s="30" t="s">
        <v>84</v>
      </c>
      <c r="E30" s="26">
        <v>3</v>
      </c>
      <c r="F30" s="26">
        <f t="shared" si="1"/>
        <v>3</v>
      </c>
      <c r="G30" s="26">
        <f t="shared" si="2"/>
        <v>3</v>
      </c>
      <c r="H30" s="26" t="str">
        <f>[1]AMCAS!G29</f>
        <v>C</v>
      </c>
      <c r="I30" s="26">
        <f t="shared" si="3"/>
        <v>2</v>
      </c>
      <c r="K30" s="26" t="b">
        <v>0</v>
      </c>
      <c r="L30" s="26">
        <f t="shared" si="4"/>
        <v>6</v>
      </c>
      <c r="M30" s="26">
        <f>SUM($L$2:$L30)</f>
        <v>212.79999999999998</v>
      </c>
      <c r="N30" s="26">
        <f>SUM($G$2:$G30)</f>
        <v>66</v>
      </c>
      <c r="O30" s="27">
        <f t="shared" si="5"/>
        <v>0</v>
      </c>
      <c r="P30" s="27">
        <f>SUM($O$2:$O30)</f>
        <v>24</v>
      </c>
      <c r="Q30" s="27">
        <f t="shared" si="6"/>
        <v>0</v>
      </c>
      <c r="R30" s="27">
        <f>SUM($Q$2:$Q30)</f>
        <v>7</v>
      </c>
      <c r="S30" s="27">
        <f t="shared" si="7"/>
        <v>3.2242424242424241</v>
      </c>
      <c r="T30" s="27">
        <f t="shared" si="8"/>
        <v>3.4285714285714284</v>
      </c>
    </row>
    <row r="31" spans="1:26" s="26" customFormat="1">
      <c r="A31" s="75" t="s">
        <v>77</v>
      </c>
      <c r="B31" s="26" t="str">
        <f t="shared" si="9"/>
        <v>Junior</v>
      </c>
      <c r="C31" s="30" t="s">
        <v>84</v>
      </c>
      <c r="E31" s="26">
        <v>3</v>
      </c>
      <c r="F31" s="26">
        <f t="shared" si="1"/>
        <v>3</v>
      </c>
      <c r="G31" s="26">
        <f t="shared" si="2"/>
        <v>3</v>
      </c>
      <c r="H31" s="85" t="s">
        <v>14</v>
      </c>
      <c r="I31" s="26">
        <f t="shared" si="3"/>
        <v>4</v>
      </c>
      <c r="K31" s="26" t="b">
        <v>0</v>
      </c>
      <c r="L31" s="26">
        <f t="shared" si="4"/>
        <v>12</v>
      </c>
      <c r="M31" s="26">
        <f>SUM($L$2:$L31)</f>
        <v>224.79999999999998</v>
      </c>
      <c r="N31" s="26">
        <f>SUM($G$2:$G31)</f>
        <v>69</v>
      </c>
      <c r="O31" s="27">
        <f t="shared" si="5"/>
        <v>0</v>
      </c>
      <c r="P31" s="27">
        <f>SUM($O$2:$O31)</f>
        <v>24</v>
      </c>
      <c r="Q31" s="27">
        <f t="shared" si="6"/>
        <v>0</v>
      </c>
      <c r="R31" s="27">
        <f>SUM($Q$2:$Q31)</f>
        <v>7</v>
      </c>
      <c r="S31" s="27">
        <f t="shared" si="7"/>
        <v>3.2579710144927532</v>
      </c>
      <c r="T31" s="27">
        <f t="shared" si="8"/>
        <v>3.4285714285714284</v>
      </c>
    </row>
    <row r="32" spans="1:26" s="26" customFormat="1">
      <c r="A32" s="75" t="s">
        <v>77</v>
      </c>
      <c r="B32" s="26" t="str">
        <f t="shared" si="9"/>
        <v>Junior</v>
      </c>
      <c r="C32" s="30" t="s">
        <v>84</v>
      </c>
      <c r="E32" s="26">
        <v>3</v>
      </c>
      <c r="F32" s="26">
        <f t="shared" si="1"/>
        <v>3</v>
      </c>
      <c r="G32" s="26">
        <f t="shared" si="2"/>
        <v>3</v>
      </c>
      <c r="H32" s="85" t="s">
        <v>13</v>
      </c>
      <c r="I32" s="26">
        <f t="shared" si="3"/>
        <v>3.7</v>
      </c>
      <c r="K32" s="26" t="b">
        <v>0</v>
      </c>
      <c r="L32" s="26">
        <f t="shared" si="4"/>
        <v>11.100000000000001</v>
      </c>
      <c r="M32" s="26">
        <f>SUM($L$2:$L32)</f>
        <v>235.89999999999998</v>
      </c>
      <c r="N32" s="26">
        <f>SUM($G$2:$G32)</f>
        <v>72</v>
      </c>
      <c r="O32" s="27">
        <f t="shared" si="5"/>
        <v>0</v>
      </c>
      <c r="P32" s="27">
        <f>SUM($O$2:$O32)</f>
        <v>24</v>
      </c>
      <c r="Q32" s="27">
        <f t="shared" si="6"/>
        <v>0</v>
      </c>
      <c r="R32" s="27">
        <f>SUM($Q$2:$Q32)</f>
        <v>7</v>
      </c>
      <c r="S32" s="27">
        <f t="shared" si="7"/>
        <v>3.2763888888888886</v>
      </c>
      <c r="T32" s="27">
        <f t="shared" si="8"/>
        <v>3.4285714285714284</v>
      </c>
    </row>
    <row r="33" spans="1:26" s="26" customFormat="1">
      <c r="A33" s="75" t="s">
        <v>77</v>
      </c>
      <c r="B33" s="26" t="str">
        <f t="shared" si="9"/>
        <v>Junior</v>
      </c>
      <c r="C33" s="30" t="s">
        <v>84</v>
      </c>
      <c r="E33" s="26">
        <v>4</v>
      </c>
      <c r="F33" s="26">
        <f t="shared" si="1"/>
        <v>4</v>
      </c>
      <c r="G33" s="26">
        <f t="shared" si="2"/>
        <v>4</v>
      </c>
      <c r="H33" s="85" t="s">
        <v>9</v>
      </c>
      <c r="I33" s="26">
        <f t="shared" si="3"/>
        <v>3.3</v>
      </c>
      <c r="K33" s="26" t="b">
        <v>0</v>
      </c>
      <c r="L33" s="26">
        <f t="shared" si="4"/>
        <v>13.2</v>
      </c>
      <c r="M33" s="26">
        <f>SUM($L$2:$L33)</f>
        <v>249.09999999999997</v>
      </c>
      <c r="N33" s="26">
        <f>SUM($G$2:$G33)</f>
        <v>76</v>
      </c>
      <c r="O33" s="27">
        <f t="shared" si="5"/>
        <v>0</v>
      </c>
      <c r="P33" s="27">
        <f>SUM($O$2:$O33)</f>
        <v>24</v>
      </c>
      <c r="Q33" s="27">
        <f t="shared" si="6"/>
        <v>0</v>
      </c>
      <c r="R33" s="27">
        <f>SUM($Q$2:$Q33)</f>
        <v>7</v>
      </c>
      <c r="S33" s="27">
        <f t="shared" si="7"/>
        <v>3.2776315789473678</v>
      </c>
      <c r="T33" s="27">
        <f t="shared" si="8"/>
        <v>3.4285714285714284</v>
      </c>
    </row>
    <row r="34" spans="1:26" s="26" customFormat="1">
      <c r="A34" s="75" t="s">
        <v>77</v>
      </c>
      <c r="B34" s="26" t="str">
        <f t="shared" si="9"/>
        <v>Junior</v>
      </c>
      <c r="C34" s="30" t="s">
        <v>84</v>
      </c>
      <c r="E34" s="26">
        <v>3</v>
      </c>
      <c r="F34" s="26">
        <f t="shared" ref="F34:F65" si="10">IF(D34="x",0,IF(K34=TRUE,IF(E34="",0,VLOOKUP(E34,$E$111:$F$129,2)),E34))</f>
        <v>3</v>
      </c>
      <c r="G34" s="26">
        <f t="shared" ref="G34:G65" si="11">IF(H34="W",0,F34)</f>
        <v>3</v>
      </c>
      <c r="H34" s="26" t="str">
        <f>[1]AMCAS!G33</f>
        <v>C+</v>
      </c>
      <c r="I34" s="26">
        <f t="shared" ref="I34:I65" si="12">IF(H34="", 0, VLOOKUP(H34,$A$111:$B$125,2))</f>
        <v>2.2999999999999998</v>
      </c>
      <c r="K34" s="26" t="b">
        <v>0</v>
      </c>
      <c r="L34" s="26">
        <f t="shared" ref="L34:L65" si="13">IF(D34="x",0,I34*F34)</f>
        <v>6.8999999999999995</v>
      </c>
      <c r="M34" s="26">
        <f>SUM($L$2:$L34)</f>
        <v>255.99999999999997</v>
      </c>
      <c r="N34" s="26">
        <f>SUM($G$2:$G34)</f>
        <v>79</v>
      </c>
      <c r="O34" s="27">
        <f t="shared" ref="O34:O65" si="14">IF(J34="x",L34,0)</f>
        <v>0</v>
      </c>
      <c r="P34" s="27">
        <f>SUM($O$2:$O34)</f>
        <v>24</v>
      </c>
      <c r="Q34" s="27">
        <f t="shared" ref="Q34:Q65" si="15">(IF(H34="W",0,IF(J34="x",F34,)))</f>
        <v>0</v>
      </c>
      <c r="R34" s="27">
        <f>SUM($Q$2:$Q34)</f>
        <v>7</v>
      </c>
      <c r="S34" s="27">
        <f t="shared" ref="S34:S65" si="16">M34/N34</f>
        <v>3.2405063291139236</v>
      </c>
      <c r="T34" s="27">
        <f t="shared" ref="T34:T65" si="17">P34/R34</f>
        <v>3.4285714285714284</v>
      </c>
      <c r="V34" s="21"/>
      <c r="W34" s="21"/>
      <c r="X34" s="21"/>
      <c r="Y34" s="21"/>
      <c r="Z34" s="21"/>
    </row>
    <row r="35" spans="1:26" s="21" customFormat="1">
      <c r="A35" s="76" t="s">
        <v>79</v>
      </c>
      <c r="C35" s="25" t="s">
        <v>26</v>
      </c>
      <c r="D35" s="21" t="s">
        <v>23</v>
      </c>
      <c r="E35" s="21">
        <v>3</v>
      </c>
      <c r="F35" s="21">
        <f t="shared" si="10"/>
        <v>0</v>
      </c>
      <c r="G35" s="21">
        <f t="shared" si="11"/>
        <v>0</v>
      </c>
      <c r="H35" s="21" t="s">
        <v>1</v>
      </c>
      <c r="I35" s="21">
        <f t="shared" si="12"/>
        <v>0</v>
      </c>
      <c r="K35" s="21" t="b">
        <v>0</v>
      </c>
      <c r="L35" s="21">
        <f t="shared" si="13"/>
        <v>0</v>
      </c>
      <c r="M35" s="21">
        <f>SUM($L$2:$L35)</f>
        <v>255.99999999999997</v>
      </c>
      <c r="N35" s="21">
        <f>SUM($G$2:$G35)</f>
        <v>79</v>
      </c>
      <c r="O35" s="22">
        <f t="shared" si="14"/>
        <v>0</v>
      </c>
      <c r="P35" s="22">
        <f>SUM($O$2:$O35)</f>
        <v>24</v>
      </c>
      <c r="Q35" s="22">
        <f t="shared" si="15"/>
        <v>0</v>
      </c>
      <c r="R35" s="22">
        <f>SUM($Q$2:$Q35)</f>
        <v>7</v>
      </c>
      <c r="S35" s="22">
        <f t="shared" si="16"/>
        <v>3.2405063291139236</v>
      </c>
      <c r="T35" s="22">
        <f t="shared" si="17"/>
        <v>3.4285714285714284</v>
      </c>
    </row>
    <row r="36" spans="1:26" s="21" customFormat="1">
      <c r="A36" s="76" t="s">
        <v>77</v>
      </c>
      <c r="B36" s="21" t="str">
        <f t="shared" ref="B36:B51" si="18">IF(N36&gt;=91,"Senior",IF(N36&gt;=61,"Junior",IF(N36&gt;=31,"Sophomore",IF(N36&gt;=0,"Freshman","Error"))))</f>
        <v>Junior</v>
      </c>
      <c r="C36" s="24" t="s">
        <v>85</v>
      </c>
      <c r="E36" s="21">
        <v>4</v>
      </c>
      <c r="F36" s="21">
        <f t="shared" si="10"/>
        <v>4</v>
      </c>
      <c r="G36" s="21">
        <f t="shared" si="11"/>
        <v>4</v>
      </c>
      <c r="H36" s="21" t="str">
        <f>[1]AMCAS!G34</f>
        <v>C-</v>
      </c>
      <c r="I36" s="21">
        <f t="shared" si="12"/>
        <v>1.7</v>
      </c>
      <c r="K36" s="21" t="b">
        <v>0</v>
      </c>
      <c r="L36" s="21">
        <f t="shared" si="13"/>
        <v>6.8</v>
      </c>
      <c r="M36" s="21">
        <f>SUM($L$2:$L36)</f>
        <v>262.79999999999995</v>
      </c>
      <c r="N36" s="21">
        <f>SUM($G$2:$G36)</f>
        <v>83</v>
      </c>
      <c r="O36" s="22">
        <f t="shared" si="14"/>
        <v>0</v>
      </c>
      <c r="P36" s="22">
        <f>SUM($O$2:$O36)</f>
        <v>24</v>
      </c>
      <c r="Q36" s="22">
        <f t="shared" si="15"/>
        <v>0</v>
      </c>
      <c r="R36" s="22">
        <f>SUM($Q$2:$Q36)</f>
        <v>7</v>
      </c>
      <c r="S36" s="22">
        <f t="shared" si="16"/>
        <v>3.1662650602409634</v>
      </c>
      <c r="T36" s="22">
        <f t="shared" si="17"/>
        <v>3.4285714285714284</v>
      </c>
    </row>
    <row r="37" spans="1:26" s="21" customFormat="1">
      <c r="A37" s="76" t="s">
        <v>77</v>
      </c>
      <c r="B37" s="21" t="str">
        <f t="shared" si="18"/>
        <v>Junior</v>
      </c>
      <c r="C37" s="24" t="s">
        <v>22</v>
      </c>
      <c r="D37" s="21" t="s">
        <v>23</v>
      </c>
      <c r="E37" s="21">
        <v>3</v>
      </c>
      <c r="F37" s="21">
        <f t="shared" si="10"/>
        <v>0</v>
      </c>
      <c r="G37" s="21">
        <f t="shared" si="11"/>
        <v>0</v>
      </c>
      <c r="H37" s="21" t="str">
        <f>[1]AMCAS!G35</f>
        <v>F</v>
      </c>
      <c r="I37" s="21">
        <f t="shared" si="12"/>
        <v>0</v>
      </c>
      <c r="K37" s="21" t="b">
        <v>0</v>
      </c>
      <c r="L37" s="21">
        <f t="shared" si="13"/>
        <v>0</v>
      </c>
      <c r="M37" s="21">
        <f>SUM($L$2:$L37)</f>
        <v>262.79999999999995</v>
      </c>
      <c r="N37" s="21">
        <f>SUM($G$2:$G37)</f>
        <v>83</v>
      </c>
      <c r="O37" s="22">
        <f t="shared" si="14"/>
        <v>0</v>
      </c>
      <c r="P37" s="22">
        <f>SUM($O$2:$O37)</f>
        <v>24</v>
      </c>
      <c r="Q37" s="22">
        <f t="shared" si="15"/>
        <v>0</v>
      </c>
      <c r="R37" s="22">
        <f>SUM($Q$2:$Q37)</f>
        <v>7</v>
      </c>
      <c r="S37" s="22">
        <f t="shared" si="16"/>
        <v>3.1662650602409634</v>
      </c>
      <c r="T37" s="22">
        <f t="shared" si="17"/>
        <v>3.4285714285714284</v>
      </c>
    </row>
    <row r="38" spans="1:26" s="21" customFormat="1">
      <c r="A38" s="76" t="s">
        <v>77</v>
      </c>
      <c r="B38" s="21" t="str">
        <f t="shared" si="18"/>
        <v>Junior</v>
      </c>
      <c r="C38" s="24" t="s">
        <v>85</v>
      </c>
      <c r="E38" s="21">
        <v>3</v>
      </c>
      <c r="F38" s="21">
        <f t="shared" si="10"/>
        <v>3</v>
      </c>
      <c r="G38" s="21">
        <f t="shared" si="11"/>
        <v>0</v>
      </c>
      <c r="H38" s="21" t="str">
        <f>[1]AMCAS!G36</f>
        <v>W</v>
      </c>
      <c r="I38" s="21">
        <f t="shared" si="12"/>
        <v>0</v>
      </c>
      <c r="K38" s="21" t="b">
        <v>0</v>
      </c>
      <c r="L38" s="21">
        <f t="shared" si="13"/>
        <v>0</v>
      </c>
      <c r="M38" s="21">
        <f>SUM($L$2:$L38)</f>
        <v>262.79999999999995</v>
      </c>
      <c r="N38" s="21">
        <f>SUM($G$2:$G38)</f>
        <v>83</v>
      </c>
      <c r="O38" s="22">
        <f t="shared" si="14"/>
        <v>0</v>
      </c>
      <c r="P38" s="22">
        <f>SUM($O$2:$O38)</f>
        <v>24</v>
      </c>
      <c r="Q38" s="22">
        <f t="shared" si="15"/>
        <v>0</v>
      </c>
      <c r="R38" s="22">
        <f>SUM($Q$2:$Q38)</f>
        <v>7</v>
      </c>
      <c r="S38" s="22">
        <f t="shared" si="16"/>
        <v>3.1662650602409634</v>
      </c>
      <c r="T38" s="22">
        <f t="shared" si="17"/>
        <v>3.4285714285714284</v>
      </c>
    </row>
    <row r="39" spans="1:26" s="21" customFormat="1">
      <c r="A39" s="76" t="s">
        <v>77</v>
      </c>
      <c r="B39" s="21" t="str">
        <f t="shared" si="18"/>
        <v>Junior</v>
      </c>
      <c r="C39" s="24" t="s">
        <v>85</v>
      </c>
      <c r="E39" s="21">
        <v>3</v>
      </c>
      <c r="F39" s="21">
        <f t="shared" si="10"/>
        <v>3</v>
      </c>
      <c r="G39" s="21">
        <f t="shared" si="11"/>
        <v>0</v>
      </c>
      <c r="H39" s="21" t="str">
        <f>[1]AMCAS!G37</f>
        <v>W</v>
      </c>
      <c r="I39" s="21">
        <f t="shared" si="12"/>
        <v>0</v>
      </c>
      <c r="K39" s="21" t="b">
        <v>0</v>
      </c>
      <c r="L39" s="21">
        <f t="shared" si="13"/>
        <v>0</v>
      </c>
      <c r="M39" s="21">
        <f>SUM($L$2:$L39)</f>
        <v>262.79999999999995</v>
      </c>
      <c r="N39" s="21">
        <f>SUM($G$2:$G39)</f>
        <v>83</v>
      </c>
      <c r="O39" s="22">
        <f t="shared" si="14"/>
        <v>0</v>
      </c>
      <c r="P39" s="22">
        <f>SUM($O$2:$O39)</f>
        <v>24</v>
      </c>
      <c r="Q39" s="22">
        <f t="shared" si="15"/>
        <v>0</v>
      </c>
      <c r="R39" s="22">
        <f>SUM($Q$2:$Q39)</f>
        <v>7</v>
      </c>
      <c r="S39" s="22">
        <f t="shared" si="16"/>
        <v>3.1662650602409634</v>
      </c>
      <c r="T39" s="22">
        <f t="shared" si="17"/>
        <v>3.4285714285714284</v>
      </c>
    </row>
    <row r="40" spans="1:26" s="21" customFormat="1">
      <c r="A40" s="76" t="s">
        <v>77</v>
      </c>
      <c r="B40" s="21" t="str">
        <f t="shared" si="18"/>
        <v>Junior</v>
      </c>
      <c r="C40" s="24" t="s">
        <v>85</v>
      </c>
      <c r="E40" s="21">
        <v>3</v>
      </c>
      <c r="F40" s="21">
        <f t="shared" si="10"/>
        <v>3</v>
      </c>
      <c r="G40" s="21">
        <f t="shared" si="11"/>
        <v>3</v>
      </c>
      <c r="H40" s="86" t="s">
        <v>10</v>
      </c>
      <c r="I40" s="21">
        <f t="shared" si="12"/>
        <v>2.7</v>
      </c>
      <c r="K40" s="21" t="b">
        <v>0</v>
      </c>
      <c r="L40" s="21">
        <f t="shared" si="13"/>
        <v>8.1000000000000014</v>
      </c>
      <c r="M40" s="21">
        <f>SUM($L$2:$L40)</f>
        <v>270.89999999999998</v>
      </c>
      <c r="N40" s="21">
        <f>SUM($G$2:$G40)</f>
        <v>86</v>
      </c>
      <c r="O40" s="22">
        <f t="shared" si="14"/>
        <v>0</v>
      </c>
      <c r="P40" s="22">
        <f>SUM($O$2:$O40)</f>
        <v>24</v>
      </c>
      <c r="Q40" s="22">
        <f t="shared" si="15"/>
        <v>0</v>
      </c>
      <c r="R40" s="22">
        <f>SUM($Q$2:$Q40)</f>
        <v>7</v>
      </c>
      <c r="S40" s="22">
        <f t="shared" si="16"/>
        <v>3.15</v>
      </c>
      <c r="T40" s="22">
        <f t="shared" si="17"/>
        <v>3.4285714285714284</v>
      </c>
    </row>
    <row r="41" spans="1:26" s="21" customFormat="1">
      <c r="A41" s="76" t="s">
        <v>77</v>
      </c>
      <c r="B41" s="21" t="str">
        <f t="shared" si="18"/>
        <v>Junior</v>
      </c>
      <c r="C41" s="24" t="s">
        <v>85</v>
      </c>
      <c r="E41" s="21">
        <v>3</v>
      </c>
      <c r="F41" s="21">
        <f t="shared" si="10"/>
        <v>3</v>
      </c>
      <c r="G41" s="21">
        <f t="shared" si="11"/>
        <v>3</v>
      </c>
      <c r="H41" s="21" t="str">
        <f>[1]AMCAS!G39</f>
        <v>D+</v>
      </c>
      <c r="I41" s="21">
        <f t="shared" si="12"/>
        <v>1.3</v>
      </c>
      <c r="K41" s="21" t="b">
        <v>0</v>
      </c>
      <c r="L41" s="21">
        <f t="shared" si="13"/>
        <v>3.9000000000000004</v>
      </c>
      <c r="M41" s="21">
        <f>SUM($L$2:$L41)</f>
        <v>274.79999999999995</v>
      </c>
      <c r="N41" s="21">
        <f>SUM($G$2:$G41)</f>
        <v>89</v>
      </c>
      <c r="O41" s="22">
        <f t="shared" si="14"/>
        <v>0</v>
      </c>
      <c r="P41" s="22">
        <f>SUM($O$2:$O41)</f>
        <v>24</v>
      </c>
      <c r="Q41" s="22">
        <f t="shared" si="15"/>
        <v>0</v>
      </c>
      <c r="R41" s="22">
        <f>SUM($Q$2:$Q41)</f>
        <v>7</v>
      </c>
      <c r="S41" s="22">
        <f t="shared" si="16"/>
        <v>3.0876404494382017</v>
      </c>
      <c r="T41" s="22">
        <f t="shared" si="17"/>
        <v>3.4285714285714284</v>
      </c>
    </row>
    <row r="42" spans="1:26" s="21" customFormat="1">
      <c r="A42" s="76" t="s">
        <v>77</v>
      </c>
      <c r="B42" s="21" t="str">
        <f t="shared" si="18"/>
        <v>Junior</v>
      </c>
      <c r="C42" s="24" t="s">
        <v>31</v>
      </c>
      <c r="D42" s="21" t="s">
        <v>23</v>
      </c>
      <c r="E42" s="21">
        <v>4</v>
      </c>
      <c r="F42" s="21">
        <f t="shared" si="10"/>
        <v>0</v>
      </c>
      <c r="G42" s="21">
        <f t="shared" si="11"/>
        <v>0</v>
      </c>
      <c r="H42" s="21" t="str">
        <f>[1]AMCAS!G40</f>
        <v>D+</v>
      </c>
      <c r="I42" s="21">
        <f t="shared" si="12"/>
        <v>1.3</v>
      </c>
      <c r="K42" s="21" t="b">
        <v>0</v>
      </c>
      <c r="L42" s="21">
        <f t="shared" si="13"/>
        <v>0</v>
      </c>
      <c r="M42" s="21">
        <f>SUM($L$2:$L42)</f>
        <v>274.79999999999995</v>
      </c>
      <c r="N42" s="21">
        <f>SUM($G$2:$G42)</f>
        <v>89</v>
      </c>
      <c r="O42" s="22">
        <f t="shared" si="14"/>
        <v>0</v>
      </c>
      <c r="P42" s="22">
        <f>SUM($O$2:$O42)</f>
        <v>24</v>
      </c>
      <c r="Q42" s="22">
        <f t="shared" si="15"/>
        <v>0</v>
      </c>
      <c r="R42" s="22">
        <f>SUM($Q$2:$Q42)</f>
        <v>7</v>
      </c>
      <c r="S42" s="22">
        <f t="shared" si="16"/>
        <v>3.0876404494382017</v>
      </c>
      <c r="T42" s="22">
        <f t="shared" si="17"/>
        <v>3.4285714285714284</v>
      </c>
    </row>
    <row r="43" spans="1:26" s="21" customFormat="1">
      <c r="A43" s="76" t="s">
        <v>77</v>
      </c>
      <c r="B43" s="21" t="str">
        <f t="shared" si="18"/>
        <v>Junior</v>
      </c>
      <c r="C43" s="24" t="s">
        <v>22</v>
      </c>
      <c r="D43" s="21" t="s">
        <v>23</v>
      </c>
      <c r="E43" s="21">
        <v>3</v>
      </c>
      <c r="F43" s="21">
        <f t="shared" si="10"/>
        <v>0</v>
      </c>
      <c r="G43" s="21">
        <f t="shared" si="11"/>
        <v>0</v>
      </c>
      <c r="H43" s="21" t="str">
        <f>[1]AMCAS!G41</f>
        <v>F</v>
      </c>
      <c r="I43" s="21">
        <f t="shared" si="12"/>
        <v>0</v>
      </c>
      <c r="K43" s="21" t="b">
        <v>0</v>
      </c>
      <c r="L43" s="21">
        <f t="shared" si="13"/>
        <v>0</v>
      </c>
      <c r="M43" s="21">
        <f>SUM($L$2:$L43)</f>
        <v>274.79999999999995</v>
      </c>
      <c r="N43" s="21">
        <f>SUM($G$2:$G43)</f>
        <v>89</v>
      </c>
      <c r="O43" s="22">
        <f t="shared" si="14"/>
        <v>0</v>
      </c>
      <c r="P43" s="22">
        <f>SUM($O$2:$O43)</f>
        <v>24</v>
      </c>
      <c r="Q43" s="22">
        <f t="shared" si="15"/>
        <v>0</v>
      </c>
      <c r="R43" s="22">
        <f>SUM($Q$2:$Q43)</f>
        <v>7</v>
      </c>
      <c r="S43" s="22">
        <f t="shared" si="16"/>
        <v>3.0876404494382017</v>
      </c>
      <c r="T43" s="22">
        <f t="shared" si="17"/>
        <v>3.4285714285714284</v>
      </c>
    </row>
    <row r="44" spans="1:26" s="21" customFormat="1">
      <c r="A44" s="76" t="s">
        <v>77</v>
      </c>
      <c r="B44" s="21" t="str">
        <f t="shared" si="18"/>
        <v>Senior</v>
      </c>
      <c r="C44" s="24" t="s">
        <v>85</v>
      </c>
      <c r="E44" s="21">
        <v>3</v>
      </c>
      <c r="F44" s="21">
        <f t="shared" si="10"/>
        <v>3</v>
      </c>
      <c r="G44" s="21">
        <f t="shared" si="11"/>
        <v>3</v>
      </c>
      <c r="H44" s="21" t="str">
        <f>[1]AMCAS!G42</f>
        <v>F</v>
      </c>
      <c r="I44" s="21">
        <f t="shared" si="12"/>
        <v>0</v>
      </c>
      <c r="K44" s="21" t="b">
        <v>0</v>
      </c>
      <c r="L44" s="21">
        <f t="shared" si="13"/>
        <v>0</v>
      </c>
      <c r="M44" s="21">
        <f>SUM($L$2:$L44)</f>
        <v>274.79999999999995</v>
      </c>
      <c r="N44" s="21">
        <f>SUM($G$2:$G44)</f>
        <v>92</v>
      </c>
      <c r="O44" s="22">
        <f t="shared" si="14"/>
        <v>0</v>
      </c>
      <c r="P44" s="22">
        <f>SUM($O$2:$O44)</f>
        <v>24</v>
      </c>
      <c r="Q44" s="22">
        <f t="shared" si="15"/>
        <v>0</v>
      </c>
      <c r="R44" s="22">
        <f>SUM($Q$2:$Q44)</f>
        <v>7</v>
      </c>
      <c r="S44" s="22">
        <f t="shared" si="16"/>
        <v>2.9869565217391298</v>
      </c>
      <c r="T44" s="22">
        <f t="shared" si="17"/>
        <v>3.4285714285714284</v>
      </c>
    </row>
    <row r="45" spans="1:26" s="21" customFormat="1">
      <c r="A45" s="76" t="s">
        <v>77</v>
      </c>
      <c r="B45" s="21" t="str">
        <f t="shared" si="18"/>
        <v>Senior</v>
      </c>
      <c r="C45" s="24" t="s">
        <v>27</v>
      </c>
      <c r="D45" s="21" t="s">
        <v>23</v>
      </c>
      <c r="E45" s="21">
        <v>3</v>
      </c>
      <c r="F45" s="21">
        <f t="shared" si="10"/>
        <v>0</v>
      </c>
      <c r="G45" s="21">
        <f t="shared" si="11"/>
        <v>0</v>
      </c>
      <c r="H45" s="21" t="s">
        <v>1</v>
      </c>
      <c r="I45" s="21">
        <f t="shared" si="12"/>
        <v>0</v>
      </c>
      <c r="K45" s="21" t="b">
        <v>0</v>
      </c>
      <c r="L45" s="21">
        <f t="shared" si="13"/>
        <v>0</v>
      </c>
      <c r="M45" s="21">
        <f>SUM($L$2:$L45)</f>
        <v>274.79999999999995</v>
      </c>
      <c r="N45" s="21">
        <f>SUM($G$2:$G45)</f>
        <v>92</v>
      </c>
      <c r="O45" s="22">
        <f t="shared" si="14"/>
        <v>0</v>
      </c>
      <c r="P45" s="22">
        <f>SUM($O$2:$O45)</f>
        <v>24</v>
      </c>
      <c r="Q45" s="22">
        <f t="shared" si="15"/>
        <v>0</v>
      </c>
      <c r="R45" s="22">
        <f>SUM($Q$2:$Q45)</f>
        <v>7</v>
      </c>
      <c r="S45" s="22">
        <f t="shared" si="16"/>
        <v>2.9869565217391298</v>
      </c>
      <c r="T45" s="22">
        <f t="shared" si="17"/>
        <v>3.4285714285714284</v>
      </c>
    </row>
    <row r="46" spans="1:26" s="21" customFormat="1">
      <c r="A46" s="76" t="s">
        <v>77</v>
      </c>
      <c r="B46" s="21" t="str">
        <f t="shared" si="18"/>
        <v>Senior</v>
      </c>
      <c r="C46" s="24" t="s">
        <v>85</v>
      </c>
      <c r="E46" s="21">
        <v>3</v>
      </c>
      <c r="F46" s="21">
        <f t="shared" si="10"/>
        <v>3</v>
      </c>
      <c r="G46" s="21">
        <f t="shared" si="11"/>
        <v>3</v>
      </c>
      <c r="H46" s="21" t="str">
        <f>[1]AMCAS!G44</f>
        <v>A-</v>
      </c>
      <c r="I46" s="21">
        <f t="shared" si="12"/>
        <v>3.7</v>
      </c>
      <c r="K46" s="21" t="b">
        <v>0</v>
      </c>
      <c r="L46" s="21">
        <f t="shared" si="13"/>
        <v>11.100000000000001</v>
      </c>
      <c r="M46" s="21">
        <f>SUM($L$2:$L46)</f>
        <v>285.89999999999998</v>
      </c>
      <c r="N46" s="21">
        <f>SUM($G$2:$G46)</f>
        <v>95</v>
      </c>
      <c r="O46" s="22">
        <f t="shared" si="14"/>
        <v>0</v>
      </c>
      <c r="P46" s="22">
        <f>SUM($O$2:$O46)</f>
        <v>24</v>
      </c>
      <c r="Q46" s="22">
        <f t="shared" si="15"/>
        <v>0</v>
      </c>
      <c r="R46" s="22">
        <f>SUM($Q$2:$Q46)</f>
        <v>7</v>
      </c>
      <c r="S46" s="22">
        <f t="shared" si="16"/>
        <v>3.0094736842105259</v>
      </c>
      <c r="T46" s="22">
        <f t="shared" si="17"/>
        <v>3.4285714285714284</v>
      </c>
    </row>
    <row r="47" spans="1:26" s="21" customFormat="1">
      <c r="A47" s="76" t="s">
        <v>77</v>
      </c>
      <c r="B47" s="21" t="str">
        <f t="shared" si="18"/>
        <v>Senior</v>
      </c>
      <c r="C47" s="24" t="s">
        <v>85</v>
      </c>
      <c r="E47" s="21">
        <v>3</v>
      </c>
      <c r="F47" s="21">
        <f t="shared" si="10"/>
        <v>3</v>
      </c>
      <c r="G47" s="21">
        <f t="shared" si="11"/>
        <v>3</v>
      </c>
      <c r="H47" s="21" t="str">
        <f>[1]AMCAS!G45</f>
        <v>B</v>
      </c>
      <c r="I47" s="21">
        <f t="shared" si="12"/>
        <v>3</v>
      </c>
      <c r="K47" s="21" t="b">
        <v>0</v>
      </c>
      <c r="L47" s="21">
        <f t="shared" si="13"/>
        <v>9</v>
      </c>
      <c r="M47" s="21">
        <f>SUM($L$2:$L47)</f>
        <v>294.89999999999998</v>
      </c>
      <c r="N47" s="21">
        <f>SUM($G$2:$G47)</f>
        <v>98</v>
      </c>
      <c r="O47" s="22">
        <f t="shared" si="14"/>
        <v>0</v>
      </c>
      <c r="P47" s="22">
        <f>SUM($O$2:$O47)</f>
        <v>24</v>
      </c>
      <c r="Q47" s="22">
        <f t="shared" si="15"/>
        <v>0</v>
      </c>
      <c r="R47" s="22">
        <f>SUM($Q$2:$Q47)</f>
        <v>7</v>
      </c>
      <c r="S47" s="22">
        <f t="shared" si="16"/>
        <v>3.0091836734693875</v>
      </c>
      <c r="T47" s="22">
        <f t="shared" si="17"/>
        <v>3.4285714285714284</v>
      </c>
    </row>
    <row r="48" spans="1:26" s="21" customFormat="1">
      <c r="A48" s="76" t="s">
        <v>77</v>
      </c>
      <c r="B48" s="21" t="str">
        <f t="shared" si="18"/>
        <v>Senior</v>
      </c>
      <c r="C48" s="24" t="s">
        <v>85</v>
      </c>
      <c r="E48" s="21">
        <v>3</v>
      </c>
      <c r="F48" s="21">
        <f t="shared" si="10"/>
        <v>3</v>
      </c>
      <c r="G48" s="21">
        <f t="shared" si="11"/>
        <v>3</v>
      </c>
      <c r="H48" s="86" t="s">
        <v>14</v>
      </c>
      <c r="I48" s="21">
        <f t="shared" si="12"/>
        <v>4</v>
      </c>
      <c r="K48" s="21" t="b">
        <v>0</v>
      </c>
      <c r="L48" s="21">
        <f t="shared" si="13"/>
        <v>12</v>
      </c>
      <c r="M48" s="21">
        <f>SUM($L$2:$L48)</f>
        <v>306.89999999999998</v>
      </c>
      <c r="N48" s="21">
        <f>SUM($G$2:$G48)</f>
        <v>101</v>
      </c>
      <c r="O48" s="22">
        <f t="shared" si="14"/>
        <v>0</v>
      </c>
      <c r="P48" s="22">
        <f>SUM($O$2:$O48)</f>
        <v>24</v>
      </c>
      <c r="Q48" s="22">
        <f t="shared" si="15"/>
        <v>0</v>
      </c>
      <c r="R48" s="22">
        <f>SUM($Q$2:$Q48)</f>
        <v>7</v>
      </c>
      <c r="S48" s="22">
        <f t="shared" si="16"/>
        <v>3.0386138613861382</v>
      </c>
      <c r="T48" s="22">
        <f t="shared" si="17"/>
        <v>3.4285714285714284</v>
      </c>
    </row>
    <row r="49" spans="1:26" s="21" customFormat="1">
      <c r="A49" s="76" t="s">
        <v>77</v>
      </c>
      <c r="B49" s="21" t="str">
        <f t="shared" si="18"/>
        <v>Senior</v>
      </c>
      <c r="C49" s="24" t="s">
        <v>85</v>
      </c>
      <c r="E49" s="21">
        <v>3</v>
      </c>
      <c r="F49" s="21">
        <f t="shared" si="10"/>
        <v>3</v>
      </c>
      <c r="G49" s="21">
        <f t="shared" si="11"/>
        <v>3</v>
      </c>
      <c r="H49" s="86" t="s">
        <v>14</v>
      </c>
      <c r="I49" s="21">
        <f t="shared" si="12"/>
        <v>4</v>
      </c>
      <c r="K49" s="21" t="b">
        <v>0</v>
      </c>
      <c r="L49" s="21">
        <f t="shared" si="13"/>
        <v>12</v>
      </c>
      <c r="M49" s="21">
        <f>SUM($L$2:$L49)</f>
        <v>318.89999999999998</v>
      </c>
      <c r="N49" s="21">
        <f>SUM($G$2:$G49)</f>
        <v>104</v>
      </c>
      <c r="O49" s="22">
        <f t="shared" si="14"/>
        <v>0</v>
      </c>
      <c r="P49" s="22">
        <f>SUM($O$2:$O49)</f>
        <v>24</v>
      </c>
      <c r="Q49" s="22">
        <f t="shared" si="15"/>
        <v>0</v>
      </c>
      <c r="R49" s="22">
        <f>SUM($Q$2:$Q49)</f>
        <v>7</v>
      </c>
      <c r="S49" s="22">
        <f t="shared" si="16"/>
        <v>3.0663461538461538</v>
      </c>
      <c r="T49" s="22">
        <f t="shared" si="17"/>
        <v>3.4285714285714284</v>
      </c>
    </row>
    <row r="50" spans="1:26" s="21" customFormat="1">
      <c r="A50" s="76" t="s">
        <v>77</v>
      </c>
      <c r="B50" s="21" t="str">
        <f t="shared" si="18"/>
        <v>Senior</v>
      </c>
      <c r="C50" s="24" t="s">
        <v>85</v>
      </c>
      <c r="E50" s="21">
        <v>3</v>
      </c>
      <c r="F50" s="21">
        <f t="shared" si="10"/>
        <v>3</v>
      </c>
      <c r="G50" s="21">
        <f t="shared" si="11"/>
        <v>3</v>
      </c>
      <c r="H50" s="21" t="str">
        <f>[1]AMCAS!G48</f>
        <v>B-</v>
      </c>
      <c r="I50" s="21">
        <f t="shared" si="12"/>
        <v>2.7</v>
      </c>
      <c r="K50" s="21" t="b">
        <v>0</v>
      </c>
      <c r="L50" s="21">
        <f t="shared" si="13"/>
        <v>8.1000000000000014</v>
      </c>
      <c r="M50" s="21">
        <f>SUM($L$2:$L50)</f>
        <v>327</v>
      </c>
      <c r="N50" s="21">
        <f>SUM($G$2:$G50)</f>
        <v>107</v>
      </c>
      <c r="O50" s="22">
        <f t="shared" si="14"/>
        <v>0</v>
      </c>
      <c r="P50" s="22">
        <f>SUM($O$2:$O50)</f>
        <v>24</v>
      </c>
      <c r="Q50" s="22">
        <f t="shared" si="15"/>
        <v>0</v>
      </c>
      <c r="R50" s="22">
        <f>SUM($Q$2:$Q50)</f>
        <v>7</v>
      </c>
      <c r="S50" s="22">
        <f t="shared" si="16"/>
        <v>3.05607476635514</v>
      </c>
      <c r="T50" s="22">
        <f t="shared" si="17"/>
        <v>3.4285714285714284</v>
      </c>
    </row>
    <row r="51" spans="1:26" s="21" customFormat="1">
      <c r="A51" s="76" t="s">
        <v>77</v>
      </c>
      <c r="B51" s="21" t="str">
        <f t="shared" si="18"/>
        <v>Senior</v>
      </c>
      <c r="C51" s="23" t="s">
        <v>30</v>
      </c>
      <c r="D51" s="21" t="s">
        <v>23</v>
      </c>
      <c r="E51" s="21">
        <v>3</v>
      </c>
      <c r="F51" s="21">
        <f t="shared" si="10"/>
        <v>0</v>
      </c>
      <c r="G51" s="21">
        <f t="shared" si="11"/>
        <v>0</v>
      </c>
      <c r="H51" s="21" t="str">
        <f>[1]AMCAS!G49</f>
        <v>D-</v>
      </c>
      <c r="I51" s="21">
        <f t="shared" si="12"/>
        <v>0.7</v>
      </c>
      <c r="K51" s="21" t="b">
        <v>0</v>
      </c>
      <c r="L51" s="21">
        <f t="shared" si="13"/>
        <v>0</v>
      </c>
      <c r="M51" s="21">
        <f>SUM($L$2:$L51)</f>
        <v>327</v>
      </c>
      <c r="N51" s="21">
        <f>SUM($G$2:$G51)</f>
        <v>107</v>
      </c>
      <c r="O51" s="22">
        <f t="shared" si="14"/>
        <v>0</v>
      </c>
      <c r="P51" s="22">
        <f>SUM($O$2:$O51)</f>
        <v>24</v>
      </c>
      <c r="Q51" s="22">
        <f t="shared" si="15"/>
        <v>0</v>
      </c>
      <c r="R51" s="22">
        <f>SUM($Q$2:$Q51)</f>
        <v>7</v>
      </c>
      <c r="S51" s="22">
        <f t="shared" si="16"/>
        <v>3.05607476635514</v>
      </c>
      <c r="T51" s="22">
        <f t="shared" si="17"/>
        <v>3.4285714285714284</v>
      </c>
      <c r="V51" s="18"/>
      <c r="W51" s="18"/>
      <c r="X51" s="18"/>
      <c r="Y51" s="18"/>
      <c r="Z51" s="18"/>
    </row>
    <row r="52" spans="1:26" s="18" customFormat="1">
      <c r="A52" s="77" t="s">
        <v>80</v>
      </c>
      <c r="B52" s="18" t="s">
        <v>19</v>
      </c>
      <c r="C52" s="77" t="s">
        <v>87</v>
      </c>
      <c r="E52" s="18">
        <v>4</v>
      </c>
      <c r="F52" s="18">
        <f t="shared" si="10"/>
        <v>2.6680000000000001</v>
      </c>
      <c r="G52" s="18">
        <f t="shared" si="11"/>
        <v>2.6680000000000001</v>
      </c>
      <c r="H52" s="18" t="str">
        <f>[1]AMCAS!G50</f>
        <v>B-</v>
      </c>
      <c r="I52" s="18">
        <f t="shared" si="12"/>
        <v>2.7</v>
      </c>
      <c r="K52" s="18" t="b">
        <v>1</v>
      </c>
      <c r="L52" s="18">
        <f t="shared" si="13"/>
        <v>7.2036000000000007</v>
      </c>
      <c r="M52" s="18">
        <f>SUM($L$2:$L52)</f>
        <v>334.20359999999999</v>
      </c>
      <c r="N52" s="18">
        <f>SUM($G$2:$G52)</f>
        <v>109.66800000000001</v>
      </c>
      <c r="O52" s="19">
        <f t="shared" si="14"/>
        <v>0</v>
      </c>
      <c r="P52" s="19">
        <f>SUM($O$2:$O52)</f>
        <v>24</v>
      </c>
      <c r="Q52" s="19">
        <f t="shared" si="15"/>
        <v>0</v>
      </c>
      <c r="R52" s="19">
        <f>SUM($Q$2:$Q52)</f>
        <v>7</v>
      </c>
      <c r="S52" s="19">
        <f t="shared" si="16"/>
        <v>3.0474121895174524</v>
      </c>
      <c r="T52" s="19">
        <f t="shared" si="17"/>
        <v>3.4285714285714284</v>
      </c>
    </row>
    <row r="53" spans="1:26" s="18" customFormat="1">
      <c r="A53" s="77" t="s">
        <v>80</v>
      </c>
      <c r="B53" s="18" t="s">
        <v>19</v>
      </c>
      <c r="C53" s="77" t="s">
        <v>87</v>
      </c>
      <c r="E53" s="18">
        <v>4</v>
      </c>
      <c r="F53" s="18">
        <f t="shared" si="10"/>
        <v>2.6680000000000001</v>
      </c>
      <c r="G53" s="18">
        <f t="shared" si="11"/>
        <v>0</v>
      </c>
      <c r="H53" s="18" t="s">
        <v>29</v>
      </c>
      <c r="I53" s="18">
        <f t="shared" si="12"/>
        <v>0</v>
      </c>
      <c r="J53" s="18" t="s">
        <v>23</v>
      </c>
      <c r="K53" s="18" t="b">
        <v>1</v>
      </c>
      <c r="L53" s="18">
        <f t="shared" si="13"/>
        <v>0</v>
      </c>
      <c r="M53" s="18">
        <f>SUM($L$2:$L53)</f>
        <v>334.20359999999999</v>
      </c>
      <c r="N53" s="18">
        <f>SUM($G$2:$G53)</f>
        <v>109.66800000000001</v>
      </c>
      <c r="O53" s="19">
        <f t="shared" si="14"/>
        <v>0</v>
      </c>
      <c r="P53" s="19">
        <f>SUM($O$2:$O53)</f>
        <v>24</v>
      </c>
      <c r="Q53" s="19">
        <f t="shared" si="15"/>
        <v>0</v>
      </c>
      <c r="R53" s="19">
        <f>SUM($Q$2:$Q53)</f>
        <v>7</v>
      </c>
      <c r="S53" s="19">
        <f t="shared" si="16"/>
        <v>3.0474121895174524</v>
      </c>
      <c r="T53" s="19">
        <f t="shared" si="17"/>
        <v>3.4285714285714284</v>
      </c>
    </row>
    <row r="54" spans="1:26" s="18" customFormat="1">
      <c r="A54" s="77" t="s">
        <v>80</v>
      </c>
      <c r="B54" s="18" t="s">
        <v>19</v>
      </c>
      <c r="C54" s="77" t="s">
        <v>87</v>
      </c>
      <c r="E54" s="18">
        <v>4</v>
      </c>
      <c r="F54" s="18">
        <f t="shared" si="10"/>
        <v>2.6680000000000001</v>
      </c>
      <c r="G54" s="18">
        <f t="shared" si="11"/>
        <v>2.6680000000000001</v>
      </c>
      <c r="H54" s="18" t="str">
        <f>[1]AMCAS!G52</f>
        <v>A-</v>
      </c>
      <c r="I54" s="18">
        <f t="shared" si="12"/>
        <v>3.7</v>
      </c>
      <c r="J54" s="18" t="s">
        <v>23</v>
      </c>
      <c r="K54" s="18" t="b">
        <v>1</v>
      </c>
      <c r="L54" s="18">
        <f t="shared" si="13"/>
        <v>9.8716000000000008</v>
      </c>
      <c r="M54" s="18">
        <f>SUM($L$2:$L54)</f>
        <v>344.0752</v>
      </c>
      <c r="N54" s="18">
        <f>SUM($G$2:$G54)</f>
        <v>112.33600000000001</v>
      </c>
      <c r="O54" s="19">
        <f t="shared" si="14"/>
        <v>9.8716000000000008</v>
      </c>
      <c r="P54" s="19">
        <f>SUM($O$2:$O54)</f>
        <v>33.871600000000001</v>
      </c>
      <c r="Q54" s="19">
        <f t="shared" si="15"/>
        <v>2.6680000000000001</v>
      </c>
      <c r="R54" s="19">
        <f>SUM($Q$2:$Q54)</f>
        <v>9.6679999999999993</v>
      </c>
      <c r="S54" s="19">
        <f t="shared" si="16"/>
        <v>3.0629112662013953</v>
      </c>
      <c r="T54" s="19">
        <f t="shared" si="17"/>
        <v>3.503475382705834</v>
      </c>
    </row>
    <row r="55" spans="1:26" s="18" customFormat="1">
      <c r="A55" s="77" t="s">
        <v>80</v>
      </c>
      <c r="B55" s="18" t="s">
        <v>19</v>
      </c>
      <c r="C55" s="77" t="s">
        <v>87</v>
      </c>
      <c r="E55" s="18">
        <v>1.36</v>
      </c>
      <c r="F55" s="18">
        <f t="shared" si="10"/>
        <v>0.66700000000000004</v>
      </c>
      <c r="G55" s="18">
        <f t="shared" si="11"/>
        <v>0.66700000000000004</v>
      </c>
      <c r="H55" s="18" t="str">
        <f>[1]AMCAS!G53</f>
        <v>B+</v>
      </c>
      <c r="I55" s="18">
        <f t="shared" si="12"/>
        <v>3.3</v>
      </c>
      <c r="J55" s="18" t="s">
        <v>23</v>
      </c>
      <c r="K55" s="18" t="b">
        <v>1</v>
      </c>
      <c r="L55" s="18">
        <f t="shared" si="13"/>
        <v>2.2010999999999998</v>
      </c>
      <c r="M55" s="18">
        <f>SUM($L$2:$L55)</f>
        <v>346.27629999999999</v>
      </c>
      <c r="N55" s="18">
        <f>SUM($G$2:$G55)</f>
        <v>113.00300000000001</v>
      </c>
      <c r="O55" s="19">
        <f t="shared" si="14"/>
        <v>2.2010999999999998</v>
      </c>
      <c r="P55" s="19">
        <f>SUM($O$2:$O55)</f>
        <v>36.072699999999998</v>
      </c>
      <c r="Q55" s="19">
        <f t="shared" si="15"/>
        <v>0.66700000000000004</v>
      </c>
      <c r="R55" s="19">
        <f>SUM($Q$2:$Q55)</f>
        <v>10.334999999999999</v>
      </c>
      <c r="S55" s="19">
        <f t="shared" si="16"/>
        <v>3.064310682017291</v>
      </c>
      <c r="T55" s="19">
        <f t="shared" si="17"/>
        <v>3.4903434929850023</v>
      </c>
    </row>
    <row r="56" spans="1:26" s="18" customFormat="1">
      <c r="A56" s="77" t="s">
        <v>80</v>
      </c>
      <c r="B56" s="18" t="s">
        <v>19</v>
      </c>
      <c r="C56" s="77" t="s">
        <v>87</v>
      </c>
      <c r="E56" s="18">
        <v>4</v>
      </c>
      <c r="F56" s="18">
        <f t="shared" si="10"/>
        <v>2.6680000000000001</v>
      </c>
      <c r="G56" s="18">
        <f t="shared" si="11"/>
        <v>2.6680000000000001</v>
      </c>
      <c r="H56" s="18" t="str">
        <f>[1]AMCAS!G54</f>
        <v>B</v>
      </c>
      <c r="I56" s="18">
        <f t="shared" si="12"/>
        <v>3</v>
      </c>
      <c r="J56" s="18" t="s">
        <v>23</v>
      </c>
      <c r="K56" s="18" t="b">
        <v>1</v>
      </c>
      <c r="L56" s="18">
        <f t="shared" si="13"/>
        <v>8.0040000000000013</v>
      </c>
      <c r="M56" s="18">
        <f>SUM($L$2:$L56)</f>
        <v>354.28030000000001</v>
      </c>
      <c r="N56" s="18">
        <f>SUM($G$2:$G56)</f>
        <v>115.67100000000002</v>
      </c>
      <c r="O56" s="19">
        <f t="shared" si="14"/>
        <v>8.0040000000000013</v>
      </c>
      <c r="P56" s="19">
        <f>SUM($O$2:$O56)</f>
        <v>44.076700000000002</v>
      </c>
      <c r="Q56" s="19">
        <f t="shared" si="15"/>
        <v>2.6680000000000001</v>
      </c>
      <c r="R56" s="19">
        <f>SUM($Q$2:$Q56)</f>
        <v>13.003</v>
      </c>
      <c r="S56" s="19">
        <f t="shared" si="16"/>
        <v>3.0628273292355037</v>
      </c>
      <c r="T56" s="19">
        <f t="shared" si="17"/>
        <v>3.3897331385064988</v>
      </c>
    </row>
    <row r="57" spans="1:26" s="18" customFormat="1">
      <c r="A57" s="77" t="s">
        <v>80</v>
      </c>
      <c r="B57" s="18" t="s">
        <v>19</v>
      </c>
      <c r="C57" s="77" t="s">
        <v>87</v>
      </c>
      <c r="E57" s="18">
        <v>1.36</v>
      </c>
      <c r="F57" s="18">
        <f t="shared" si="10"/>
        <v>0.66700000000000004</v>
      </c>
      <c r="G57" s="18">
        <f t="shared" si="11"/>
        <v>0.66700000000000004</v>
      </c>
      <c r="H57" s="18" t="str">
        <f>[1]AMCAS!G55</f>
        <v>A</v>
      </c>
      <c r="I57" s="18">
        <f t="shared" si="12"/>
        <v>4</v>
      </c>
      <c r="J57" s="18" t="s">
        <v>23</v>
      </c>
      <c r="K57" s="18" t="b">
        <v>1</v>
      </c>
      <c r="L57" s="18">
        <f t="shared" si="13"/>
        <v>2.6680000000000001</v>
      </c>
      <c r="M57" s="18">
        <f>SUM($L$2:$L57)</f>
        <v>356.94830000000002</v>
      </c>
      <c r="N57" s="18">
        <f>SUM($G$2:$G57)</f>
        <v>116.33800000000002</v>
      </c>
      <c r="O57" s="19">
        <f t="shared" si="14"/>
        <v>2.6680000000000001</v>
      </c>
      <c r="P57" s="19">
        <f>SUM($O$2:$O57)</f>
        <v>46.744700000000002</v>
      </c>
      <c r="Q57" s="19">
        <f t="shared" si="15"/>
        <v>0.66700000000000004</v>
      </c>
      <c r="R57" s="19">
        <f>SUM($Q$2:$Q57)</f>
        <v>13.67</v>
      </c>
      <c r="S57" s="19">
        <f t="shared" si="16"/>
        <v>3.0682004160291561</v>
      </c>
      <c r="T57" s="19">
        <f t="shared" si="17"/>
        <v>3.4195098756400881</v>
      </c>
    </row>
    <row r="58" spans="1:26" s="18" customFormat="1">
      <c r="A58" s="77" t="s">
        <v>80</v>
      </c>
      <c r="B58" s="18" t="s">
        <v>19</v>
      </c>
      <c r="C58" s="77" t="s">
        <v>87</v>
      </c>
      <c r="E58" s="18">
        <v>4</v>
      </c>
      <c r="F58" s="18">
        <f t="shared" si="10"/>
        <v>2.6680000000000001</v>
      </c>
      <c r="G58" s="18">
        <f t="shared" si="11"/>
        <v>2.6680000000000001</v>
      </c>
      <c r="H58" s="18" t="str">
        <f>[1]AMCAS!G56</f>
        <v>B</v>
      </c>
      <c r="I58" s="18">
        <f t="shared" si="12"/>
        <v>3</v>
      </c>
      <c r="J58" s="18" t="s">
        <v>23</v>
      </c>
      <c r="K58" s="18" t="b">
        <v>1</v>
      </c>
      <c r="L58" s="18">
        <f t="shared" si="13"/>
        <v>8.0040000000000013</v>
      </c>
      <c r="M58" s="18">
        <f>SUM($L$2:$L58)</f>
        <v>364.95230000000004</v>
      </c>
      <c r="N58" s="18">
        <f>SUM($G$2:$G58)</f>
        <v>119.00600000000003</v>
      </c>
      <c r="O58" s="19">
        <f t="shared" si="14"/>
        <v>8.0040000000000013</v>
      </c>
      <c r="P58" s="19">
        <f>SUM($O$2:$O58)</f>
        <v>54.748699999999999</v>
      </c>
      <c r="Q58" s="19">
        <f t="shared" si="15"/>
        <v>2.6680000000000001</v>
      </c>
      <c r="R58" s="19">
        <f>SUM($Q$2:$Q58)</f>
        <v>16.338000000000001</v>
      </c>
      <c r="S58" s="19">
        <f t="shared" si="16"/>
        <v>3.0666714283313441</v>
      </c>
      <c r="T58" s="19">
        <f t="shared" si="17"/>
        <v>3.3510037948341287</v>
      </c>
    </row>
    <row r="59" spans="1:26" s="18" customFormat="1">
      <c r="A59" s="77" t="s">
        <v>80</v>
      </c>
      <c r="B59" s="18" t="s">
        <v>19</v>
      </c>
      <c r="C59" s="77" t="s">
        <v>87</v>
      </c>
      <c r="E59" s="18">
        <v>1.36</v>
      </c>
      <c r="F59" s="18">
        <f t="shared" si="10"/>
        <v>0.66700000000000004</v>
      </c>
      <c r="G59" s="18">
        <f t="shared" si="11"/>
        <v>0.66700000000000004</v>
      </c>
      <c r="H59" s="18" t="str">
        <f>[1]AMCAS!G57</f>
        <v>A</v>
      </c>
      <c r="I59" s="18">
        <f t="shared" si="12"/>
        <v>4</v>
      </c>
      <c r="J59" s="18" t="s">
        <v>23</v>
      </c>
      <c r="K59" s="18" t="b">
        <v>1</v>
      </c>
      <c r="L59" s="18">
        <f t="shared" si="13"/>
        <v>2.6680000000000001</v>
      </c>
      <c r="M59" s="18">
        <f>SUM($L$2:$L59)</f>
        <v>367.62030000000004</v>
      </c>
      <c r="N59" s="18">
        <f>SUM($G$2:$G59)</f>
        <v>119.67300000000003</v>
      </c>
      <c r="O59" s="19">
        <f t="shared" si="14"/>
        <v>2.6680000000000001</v>
      </c>
      <c r="P59" s="19">
        <f>SUM($O$2:$O59)</f>
        <v>57.416699999999999</v>
      </c>
      <c r="Q59" s="19">
        <f t="shared" si="15"/>
        <v>0.66700000000000004</v>
      </c>
      <c r="R59" s="19">
        <f>SUM($Q$2:$Q59)</f>
        <v>17.005000000000003</v>
      </c>
      <c r="S59" s="19">
        <f t="shared" si="16"/>
        <v>3.0718733548920807</v>
      </c>
      <c r="T59" s="19">
        <f t="shared" si="17"/>
        <v>3.3764598647456623</v>
      </c>
    </row>
    <row r="60" spans="1:26" s="18" customFormat="1">
      <c r="A60" s="77" t="s">
        <v>80</v>
      </c>
      <c r="B60" s="18" t="s">
        <v>19</v>
      </c>
      <c r="C60" s="77" t="s">
        <v>87</v>
      </c>
      <c r="E60" s="18">
        <v>4</v>
      </c>
      <c r="F60" s="18">
        <f t="shared" si="10"/>
        <v>2.6680000000000001</v>
      </c>
      <c r="G60" s="18">
        <f t="shared" si="11"/>
        <v>2.6680000000000001</v>
      </c>
      <c r="H60" s="18" t="str">
        <f>[1]AMCAS!G58</f>
        <v>B</v>
      </c>
      <c r="I60" s="18">
        <f t="shared" si="12"/>
        <v>3</v>
      </c>
      <c r="J60" s="18" t="s">
        <v>23</v>
      </c>
      <c r="K60" s="18" t="b">
        <v>1</v>
      </c>
      <c r="L60" s="18">
        <f t="shared" si="13"/>
        <v>8.0040000000000013</v>
      </c>
      <c r="M60" s="18">
        <f>SUM($L$2:$L60)</f>
        <v>375.62430000000006</v>
      </c>
      <c r="N60" s="18">
        <f>SUM($G$2:$G60)</f>
        <v>122.34100000000004</v>
      </c>
      <c r="O60" s="19">
        <f t="shared" si="14"/>
        <v>8.0040000000000013</v>
      </c>
      <c r="P60" s="19">
        <f>SUM($O$2:$O60)</f>
        <v>65.420699999999997</v>
      </c>
      <c r="Q60" s="19">
        <f t="shared" si="15"/>
        <v>2.6680000000000001</v>
      </c>
      <c r="R60" s="19">
        <f>SUM($Q$2:$Q60)</f>
        <v>19.673000000000002</v>
      </c>
      <c r="S60" s="19">
        <f t="shared" si="16"/>
        <v>3.070305948128591</v>
      </c>
      <c r="T60" s="19">
        <f t="shared" si="17"/>
        <v>3.3254053779291408</v>
      </c>
    </row>
    <row r="61" spans="1:26" s="18" customFormat="1">
      <c r="A61" s="77" t="s">
        <v>80</v>
      </c>
      <c r="B61" s="18" t="s">
        <v>19</v>
      </c>
      <c r="C61" s="77" t="s">
        <v>87</v>
      </c>
      <c r="E61" s="18">
        <v>4</v>
      </c>
      <c r="F61" s="18">
        <f t="shared" si="10"/>
        <v>2.6680000000000001</v>
      </c>
      <c r="G61" s="18">
        <f t="shared" si="11"/>
        <v>2.6680000000000001</v>
      </c>
      <c r="H61" s="18" t="str">
        <f>[1]AMCAS!G59</f>
        <v>A</v>
      </c>
      <c r="I61" s="18">
        <f t="shared" si="12"/>
        <v>4</v>
      </c>
      <c r="J61" s="18" t="s">
        <v>23</v>
      </c>
      <c r="K61" s="18" t="b">
        <v>1</v>
      </c>
      <c r="L61" s="18">
        <f t="shared" si="13"/>
        <v>10.672000000000001</v>
      </c>
      <c r="M61" s="18">
        <f>SUM($L$2:$L61)</f>
        <v>386.29630000000009</v>
      </c>
      <c r="N61" s="18">
        <f>SUM($G$2:$G61)</f>
        <v>125.00900000000004</v>
      </c>
      <c r="O61" s="19">
        <f t="shared" si="14"/>
        <v>10.672000000000001</v>
      </c>
      <c r="P61" s="19">
        <f>SUM($O$2:$O61)</f>
        <v>76.092699999999994</v>
      </c>
      <c r="Q61" s="19">
        <f t="shared" si="15"/>
        <v>2.6680000000000001</v>
      </c>
      <c r="R61" s="19">
        <f>SUM($Q$2:$Q61)</f>
        <v>22.341000000000001</v>
      </c>
      <c r="S61" s="19">
        <f t="shared" si="16"/>
        <v>3.0901479093505264</v>
      </c>
      <c r="T61" s="19">
        <f t="shared" si="17"/>
        <v>3.4059666084776863</v>
      </c>
    </row>
    <row r="62" spans="1:26" s="18" customFormat="1">
      <c r="A62" s="77" t="s">
        <v>80</v>
      </c>
      <c r="B62" s="18" t="s">
        <v>19</v>
      </c>
      <c r="C62" s="77" t="s">
        <v>87</v>
      </c>
      <c r="E62" s="18">
        <v>4</v>
      </c>
      <c r="F62" s="18">
        <f t="shared" si="10"/>
        <v>2.6680000000000001</v>
      </c>
      <c r="G62" s="18">
        <f t="shared" si="11"/>
        <v>2.6680000000000001</v>
      </c>
      <c r="H62" s="18" t="str">
        <f>[1]AMCAS!G60</f>
        <v>B+</v>
      </c>
      <c r="I62" s="18">
        <f t="shared" si="12"/>
        <v>3.3</v>
      </c>
      <c r="J62" s="18" t="s">
        <v>23</v>
      </c>
      <c r="K62" s="18" t="b">
        <v>1</v>
      </c>
      <c r="L62" s="18">
        <f t="shared" si="13"/>
        <v>8.8043999999999993</v>
      </c>
      <c r="M62" s="18">
        <f>SUM($L$2:$L62)</f>
        <v>395.10070000000007</v>
      </c>
      <c r="N62" s="18">
        <f>SUM($G$2:$G62)</f>
        <v>127.67700000000005</v>
      </c>
      <c r="O62" s="19">
        <f t="shared" si="14"/>
        <v>8.8043999999999993</v>
      </c>
      <c r="P62" s="19">
        <f>SUM($O$2:$O62)</f>
        <v>84.897099999999995</v>
      </c>
      <c r="Q62" s="19">
        <f t="shared" si="15"/>
        <v>2.6680000000000001</v>
      </c>
      <c r="R62" s="19">
        <f>SUM($Q$2:$Q62)</f>
        <v>25.009</v>
      </c>
      <c r="S62" s="19">
        <f t="shared" si="16"/>
        <v>3.0945330795679715</v>
      </c>
      <c r="T62" s="19">
        <f t="shared" si="17"/>
        <v>3.3946619217081846</v>
      </c>
    </row>
    <row r="63" spans="1:26" s="18" customFormat="1">
      <c r="A63" s="77" t="s">
        <v>80</v>
      </c>
      <c r="B63" s="18" t="s">
        <v>19</v>
      </c>
      <c r="C63" s="77" t="s">
        <v>87</v>
      </c>
      <c r="E63" s="18">
        <v>1.36</v>
      </c>
      <c r="F63" s="18">
        <f t="shared" si="10"/>
        <v>0.66700000000000004</v>
      </c>
      <c r="G63" s="18">
        <f t="shared" si="11"/>
        <v>0.66700000000000004</v>
      </c>
      <c r="H63" s="18" t="str">
        <f>[1]AMCAS!G61</f>
        <v>A-</v>
      </c>
      <c r="I63" s="18">
        <f t="shared" si="12"/>
        <v>3.7</v>
      </c>
      <c r="J63" s="18" t="s">
        <v>23</v>
      </c>
      <c r="K63" s="18" t="b">
        <v>1</v>
      </c>
      <c r="L63" s="18">
        <f t="shared" si="13"/>
        <v>2.4679000000000002</v>
      </c>
      <c r="M63" s="18">
        <f>SUM($L$2:$L63)</f>
        <v>397.56860000000006</v>
      </c>
      <c r="N63" s="18">
        <f>SUM($G$2:$G63)</f>
        <v>128.34400000000005</v>
      </c>
      <c r="O63" s="19">
        <f t="shared" si="14"/>
        <v>2.4679000000000002</v>
      </c>
      <c r="P63" s="19">
        <f>SUM($O$2:$O63)</f>
        <v>87.364999999999995</v>
      </c>
      <c r="Q63" s="19">
        <f t="shared" si="15"/>
        <v>0.66700000000000004</v>
      </c>
      <c r="R63" s="19">
        <f>SUM($Q$2:$Q63)</f>
        <v>25.676000000000002</v>
      </c>
      <c r="S63" s="19">
        <f t="shared" si="16"/>
        <v>3.0976796733777965</v>
      </c>
      <c r="T63" s="19">
        <f t="shared" si="17"/>
        <v>3.4025938619722695</v>
      </c>
    </row>
    <row r="64" spans="1:26" s="18" customFormat="1">
      <c r="A64" s="77" t="s">
        <v>80</v>
      </c>
      <c r="B64" s="18" t="s">
        <v>19</v>
      </c>
      <c r="C64" s="20" t="s">
        <v>28</v>
      </c>
      <c r="D64" s="18" t="s">
        <v>23</v>
      </c>
      <c r="E64" s="18">
        <v>4</v>
      </c>
      <c r="F64" s="18">
        <f t="shared" si="10"/>
        <v>0</v>
      </c>
      <c r="G64" s="18">
        <f t="shared" si="11"/>
        <v>0</v>
      </c>
      <c r="H64" s="18" t="str">
        <f>[1]AMCAS!G62</f>
        <v>C</v>
      </c>
      <c r="I64" s="18">
        <f t="shared" si="12"/>
        <v>2</v>
      </c>
      <c r="J64" s="18" t="s">
        <v>23</v>
      </c>
      <c r="K64" s="18" t="b">
        <v>1</v>
      </c>
      <c r="L64" s="18">
        <f t="shared" si="13"/>
        <v>0</v>
      </c>
      <c r="M64" s="18">
        <f>SUM($L$2:$L64)</f>
        <v>397.56860000000006</v>
      </c>
      <c r="N64" s="18">
        <f>SUM($G$2:$G64)</f>
        <v>128.34400000000005</v>
      </c>
      <c r="O64" s="19">
        <f t="shared" si="14"/>
        <v>0</v>
      </c>
      <c r="P64" s="19">
        <f>SUM($O$2:$O64)</f>
        <v>87.364999999999995</v>
      </c>
      <c r="Q64" s="19">
        <f t="shared" si="15"/>
        <v>0</v>
      </c>
      <c r="R64" s="19">
        <f>SUM($Q$2:$Q64)</f>
        <v>25.676000000000002</v>
      </c>
      <c r="S64" s="19">
        <f t="shared" si="16"/>
        <v>3.0976796733777965</v>
      </c>
      <c r="T64" s="19">
        <f t="shared" si="17"/>
        <v>3.4025938619722695</v>
      </c>
    </row>
    <row r="65" spans="1:26" s="18" customFormat="1">
      <c r="A65" s="77" t="s">
        <v>80</v>
      </c>
      <c r="B65" s="18" t="s">
        <v>19</v>
      </c>
      <c r="C65" s="77" t="s">
        <v>87</v>
      </c>
      <c r="E65" s="18">
        <v>4</v>
      </c>
      <c r="F65" s="18">
        <f t="shared" si="10"/>
        <v>2.6680000000000001</v>
      </c>
      <c r="G65" s="18">
        <f t="shared" si="11"/>
        <v>2.6680000000000001</v>
      </c>
      <c r="H65" s="18" t="str">
        <f>[1]AMCAS!G63</f>
        <v>B</v>
      </c>
      <c r="I65" s="18">
        <f t="shared" si="12"/>
        <v>3</v>
      </c>
      <c r="J65" s="18" t="s">
        <v>23</v>
      </c>
      <c r="K65" s="18" t="b">
        <v>1</v>
      </c>
      <c r="L65" s="18">
        <f t="shared" si="13"/>
        <v>8.0040000000000013</v>
      </c>
      <c r="M65" s="18">
        <f>SUM($L$2:$L65)</f>
        <v>405.57260000000008</v>
      </c>
      <c r="N65" s="18">
        <f>SUM($G$2:$G65)</f>
        <v>131.01200000000006</v>
      </c>
      <c r="O65" s="19">
        <f t="shared" si="14"/>
        <v>8.0040000000000013</v>
      </c>
      <c r="P65" s="19">
        <f>SUM($O$2:$O65)</f>
        <v>95.369</v>
      </c>
      <c r="Q65" s="19">
        <f t="shared" si="15"/>
        <v>2.6680000000000001</v>
      </c>
      <c r="R65" s="19">
        <f>SUM($Q$2:$Q65)</f>
        <v>28.344000000000001</v>
      </c>
      <c r="S65" s="19">
        <f t="shared" si="16"/>
        <v>3.0956904711018831</v>
      </c>
      <c r="T65" s="19">
        <f t="shared" si="17"/>
        <v>3.3646979960485464</v>
      </c>
    </row>
    <row r="66" spans="1:26" s="18" customFormat="1">
      <c r="A66" s="77" t="s">
        <v>80</v>
      </c>
      <c r="B66" s="18" t="s">
        <v>19</v>
      </c>
      <c r="C66" s="77" t="s">
        <v>87</v>
      </c>
      <c r="E66" s="18">
        <v>4</v>
      </c>
      <c r="F66" s="18">
        <f t="shared" ref="F66:F97" si="19">IF(D66="x",0,IF(K66=TRUE,IF(E66="",0,VLOOKUP(E66,$E$111:$F$129,2)),E66))</f>
        <v>2.6680000000000001</v>
      </c>
      <c r="G66" s="18">
        <f t="shared" ref="G66:G97" si="20">IF(H66="W",0,F66)</f>
        <v>2.6680000000000001</v>
      </c>
      <c r="H66" s="18" t="str">
        <f>[1]AMCAS!G64</f>
        <v>B</v>
      </c>
      <c r="I66" s="18">
        <f t="shared" ref="I66:I97" si="21">IF(H66="", 0, VLOOKUP(H66,$A$111:$B$125,2))</f>
        <v>3</v>
      </c>
      <c r="J66" s="18" t="s">
        <v>23</v>
      </c>
      <c r="K66" s="18" t="b">
        <v>1</v>
      </c>
      <c r="L66" s="18">
        <f t="shared" ref="L66:L92" si="22">IF(D66="x",0,I66*F66)</f>
        <v>8.0040000000000013</v>
      </c>
      <c r="M66" s="18">
        <f>SUM($L$2:$L66)</f>
        <v>413.5766000000001</v>
      </c>
      <c r="N66" s="18">
        <f>SUM($G$2:$G66)</f>
        <v>133.68000000000006</v>
      </c>
      <c r="O66" s="19">
        <f t="shared" ref="O66:O92" si="23">IF(J66="x",L66,0)</f>
        <v>8.0040000000000013</v>
      </c>
      <c r="P66" s="19">
        <f>SUM($O$2:$O66)</f>
        <v>103.373</v>
      </c>
      <c r="Q66" s="19">
        <f t="shared" ref="Q66:Q92" si="24">(IF(H66="W",0,IF(J66="x",F66,)))</f>
        <v>2.6680000000000001</v>
      </c>
      <c r="R66" s="19">
        <f>SUM($Q$2:$Q66)</f>
        <v>31.012</v>
      </c>
      <c r="S66" s="19">
        <f t="shared" ref="S66:S92" si="25">M66/N66</f>
        <v>3.0937806702573303</v>
      </c>
      <c r="T66" s="19">
        <f t="shared" ref="T66:T92" si="26">P66/R66</f>
        <v>3.3333225848058818</v>
      </c>
    </row>
    <row r="67" spans="1:26" s="18" customFormat="1">
      <c r="A67" s="77" t="s">
        <v>80</v>
      </c>
      <c r="B67" s="18" t="s">
        <v>19</v>
      </c>
      <c r="C67" s="20" t="s">
        <v>25</v>
      </c>
      <c r="D67" s="18" t="s">
        <v>23</v>
      </c>
      <c r="E67" s="18">
        <v>4</v>
      </c>
      <c r="F67" s="18">
        <f t="shared" si="19"/>
        <v>0</v>
      </c>
      <c r="G67" s="18">
        <f t="shared" si="20"/>
        <v>0</v>
      </c>
      <c r="H67" s="18" t="str">
        <f>[1]AMCAS!G65</f>
        <v>C+</v>
      </c>
      <c r="I67" s="18">
        <f t="shared" si="21"/>
        <v>2.2999999999999998</v>
      </c>
      <c r="J67" s="18" t="s">
        <v>23</v>
      </c>
      <c r="K67" s="18" t="b">
        <v>1</v>
      </c>
      <c r="L67" s="18">
        <f t="shared" si="22"/>
        <v>0</v>
      </c>
      <c r="M67" s="18">
        <f>SUM($L$2:$L67)</f>
        <v>413.5766000000001</v>
      </c>
      <c r="N67" s="18">
        <f>SUM($G$2:$G67)</f>
        <v>133.68000000000006</v>
      </c>
      <c r="O67" s="19">
        <f t="shared" si="23"/>
        <v>0</v>
      </c>
      <c r="P67" s="19">
        <f>SUM($O$2:$O67)</f>
        <v>103.373</v>
      </c>
      <c r="Q67" s="19">
        <f t="shared" si="24"/>
        <v>0</v>
      </c>
      <c r="R67" s="19">
        <f>SUM($Q$2:$Q67)</f>
        <v>31.012</v>
      </c>
      <c r="S67" s="19">
        <f t="shared" si="25"/>
        <v>3.0937806702573303</v>
      </c>
      <c r="T67" s="19">
        <f t="shared" si="26"/>
        <v>3.3333225848058818</v>
      </c>
    </row>
    <row r="68" spans="1:26" s="18" customFormat="1">
      <c r="A68" s="77" t="s">
        <v>80</v>
      </c>
      <c r="B68" s="18" t="s">
        <v>19</v>
      </c>
      <c r="C68" s="20" t="s">
        <v>24</v>
      </c>
      <c r="D68" s="18" t="s">
        <v>23</v>
      </c>
      <c r="E68" s="18">
        <v>1.36</v>
      </c>
      <c r="F68" s="18">
        <f t="shared" si="19"/>
        <v>0</v>
      </c>
      <c r="G68" s="18">
        <f t="shared" si="20"/>
        <v>0</v>
      </c>
      <c r="H68" s="18" t="str">
        <f>[1]AMCAS!G66</f>
        <v>B</v>
      </c>
      <c r="I68" s="18">
        <f t="shared" si="21"/>
        <v>3</v>
      </c>
      <c r="J68" s="18" t="s">
        <v>23</v>
      </c>
      <c r="K68" s="18" t="b">
        <v>1</v>
      </c>
      <c r="L68" s="18">
        <f t="shared" si="22"/>
        <v>0</v>
      </c>
      <c r="M68" s="18">
        <f>SUM($L$2:$L68)</f>
        <v>413.5766000000001</v>
      </c>
      <c r="N68" s="18">
        <f>SUM($G$2:$G68)</f>
        <v>133.68000000000006</v>
      </c>
      <c r="O68" s="19">
        <f t="shared" si="23"/>
        <v>0</v>
      </c>
      <c r="P68" s="19">
        <f>SUM($O$2:$O68)</f>
        <v>103.373</v>
      </c>
      <c r="Q68" s="19">
        <f t="shared" si="24"/>
        <v>0</v>
      </c>
      <c r="R68" s="19">
        <f>SUM($Q$2:$Q68)</f>
        <v>31.012</v>
      </c>
      <c r="S68" s="19">
        <f t="shared" si="25"/>
        <v>3.0937806702573303</v>
      </c>
      <c r="T68" s="19">
        <f t="shared" si="26"/>
        <v>3.3333225848058818</v>
      </c>
    </row>
    <row r="69" spans="1:26" s="18" customFormat="1">
      <c r="A69" s="77" t="s">
        <v>80</v>
      </c>
      <c r="B69" s="18" t="s">
        <v>19</v>
      </c>
      <c r="C69" s="77" t="s">
        <v>87</v>
      </c>
      <c r="E69" s="18">
        <v>4</v>
      </c>
      <c r="F69" s="18">
        <f t="shared" si="19"/>
        <v>2.6680000000000001</v>
      </c>
      <c r="G69" s="18">
        <f t="shared" si="20"/>
        <v>2.6680000000000001</v>
      </c>
      <c r="H69" s="18" t="str">
        <f>[1]AMCAS!G67</f>
        <v>A-</v>
      </c>
      <c r="I69" s="18">
        <f t="shared" si="21"/>
        <v>3.7</v>
      </c>
      <c r="J69" s="18" t="s">
        <v>23</v>
      </c>
      <c r="K69" s="18" t="b">
        <v>1</v>
      </c>
      <c r="L69" s="18">
        <f t="shared" si="22"/>
        <v>9.8716000000000008</v>
      </c>
      <c r="M69" s="18">
        <f>SUM($L$2:$L69)</f>
        <v>423.4482000000001</v>
      </c>
      <c r="N69" s="18">
        <f>SUM($G$2:$G69)</f>
        <v>136.34800000000007</v>
      </c>
      <c r="O69" s="19">
        <f t="shared" si="23"/>
        <v>9.8716000000000008</v>
      </c>
      <c r="P69" s="19">
        <f>SUM($O$2:$O69)</f>
        <v>113.24460000000001</v>
      </c>
      <c r="Q69" s="19">
        <f t="shared" si="24"/>
        <v>2.6680000000000001</v>
      </c>
      <c r="R69" s="19">
        <f>SUM($Q$2:$Q69)</f>
        <v>33.68</v>
      </c>
      <c r="S69" s="19">
        <f t="shared" si="25"/>
        <v>3.1056429137207724</v>
      </c>
      <c r="T69" s="19">
        <f t="shared" si="26"/>
        <v>3.362369358669834</v>
      </c>
    </row>
    <row r="70" spans="1:26" s="18" customFormat="1">
      <c r="A70" s="77" t="s">
        <v>80</v>
      </c>
      <c r="B70" s="18" t="s">
        <v>19</v>
      </c>
      <c r="C70" s="77" t="s">
        <v>87</v>
      </c>
      <c r="E70" s="18">
        <v>4</v>
      </c>
      <c r="F70" s="18">
        <f t="shared" si="19"/>
        <v>2.6680000000000001</v>
      </c>
      <c r="G70" s="18">
        <f t="shared" si="20"/>
        <v>2.6680000000000001</v>
      </c>
      <c r="H70" s="18" t="str">
        <f>[1]AMCAS!G68</f>
        <v>A</v>
      </c>
      <c r="I70" s="18">
        <f t="shared" si="21"/>
        <v>4</v>
      </c>
      <c r="J70" s="18" t="s">
        <v>23</v>
      </c>
      <c r="K70" s="18" t="b">
        <v>1</v>
      </c>
      <c r="L70" s="18">
        <f t="shared" si="22"/>
        <v>10.672000000000001</v>
      </c>
      <c r="M70" s="18">
        <f>SUM($L$2:$L70)</f>
        <v>434.12020000000012</v>
      </c>
      <c r="N70" s="18">
        <f>SUM($G$2:$G70)</f>
        <v>139.01600000000008</v>
      </c>
      <c r="O70" s="19">
        <f t="shared" si="23"/>
        <v>10.672000000000001</v>
      </c>
      <c r="P70" s="19">
        <f>SUM($O$2:$O70)</f>
        <v>123.9166</v>
      </c>
      <c r="Q70" s="19">
        <f t="shared" si="24"/>
        <v>2.6680000000000001</v>
      </c>
      <c r="R70" s="19">
        <f>SUM($Q$2:$Q70)</f>
        <v>36.347999999999999</v>
      </c>
      <c r="S70" s="19">
        <f t="shared" si="25"/>
        <v>3.1228074466248481</v>
      </c>
      <c r="T70" s="19">
        <f t="shared" si="26"/>
        <v>3.4091724441509852</v>
      </c>
    </row>
    <row r="71" spans="1:26" s="18" customFormat="1">
      <c r="A71" s="77" t="s">
        <v>80</v>
      </c>
      <c r="B71" s="18" t="s">
        <v>19</v>
      </c>
      <c r="C71" s="77" t="s">
        <v>87</v>
      </c>
      <c r="E71" s="18">
        <v>4</v>
      </c>
      <c r="F71" s="18">
        <f t="shared" si="19"/>
        <v>2.6680000000000001</v>
      </c>
      <c r="G71" s="18">
        <f t="shared" si="20"/>
        <v>2.6680000000000001</v>
      </c>
      <c r="H71" s="18" t="str">
        <f>[1]AMCAS!G69</f>
        <v>A</v>
      </c>
      <c r="I71" s="18">
        <f t="shared" si="21"/>
        <v>4</v>
      </c>
      <c r="J71" s="18" t="s">
        <v>23</v>
      </c>
      <c r="K71" s="18" t="b">
        <v>1</v>
      </c>
      <c r="L71" s="18">
        <f t="shared" si="22"/>
        <v>10.672000000000001</v>
      </c>
      <c r="M71" s="18">
        <f>SUM($L$2:$L71)</f>
        <v>444.79220000000015</v>
      </c>
      <c r="N71" s="18">
        <f>SUM($G$2:$G71)</f>
        <v>141.68400000000008</v>
      </c>
      <c r="O71" s="19">
        <f t="shared" si="23"/>
        <v>10.672000000000001</v>
      </c>
      <c r="P71" s="19">
        <f>SUM($O$2:$O71)</f>
        <v>134.58860000000001</v>
      </c>
      <c r="Q71" s="19">
        <f t="shared" si="24"/>
        <v>2.6680000000000001</v>
      </c>
      <c r="R71" s="19">
        <f>SUM($Q$2:$Q71)</f>
        <v>39.015999999999998</v>
      </c>
      <c r="S71" s="19">
        <f t="shared" si="25"/>
        <v>3.1393255413455288</v>
      </c>
      <c r="T71" s="19">
        <f t="shared" si="26"/>
        <v>3.4495745335247081</v>
      </c>
    </row>
    <row r="72" spans="1:26" s="18" customFormat="1">
      <c r="A72" s="77" t="s">
        <v>80</v>
      </c>
      <c r="B72" s="18" t="s">
        <v>19</v>
      </c>
      <c r="C72" s="77" t="s">
        <v>87</v>
      </c>
      <c r="E72" s="18">
        <v>1.36</v>
      </c>
      <c r="F72" s="18">
        <f t="shared" si="19"/>
        <v>0.66700000000000004</v>
      </c>
      <c r="G72" s="18">
        <f t="shared" si="20"/>
        <v>0.66700000000000004</v>
      </c>
      <c r="H72" s="18" t="str">
        <f>[1]AMCAS!G70</f>
        <v>A</v>
      </c>
      <c r="I72" s="18">
        <f t="shared" si="21"/>
        <v>4</v>
      </c>
      <c r="J72" s="18" t="s">
        <v>23</v>
      </c>
      <c r="K72" s="18" t="b">
        <v>1</v>
      </c>
      <c r="L72" s="18">
        <f t="shared" si="22"/>
        <v>2.6680000000000001</v>
      </c>
      <c r="M72" s="18">
        <f>SUM($L$2:$L72)</f>
        <v>447.46020000000016</v>
      </c>
      <c r="N72" s="18">
        <f>SUM($G$2:$G72)</f>
        <v>142.35100000000008</v>
      </c>
      <c r="O72" s="19">
        <f t="shared" si="23"/>
        <v>2.6680000000000001</v>
      </c>
      <c r="P72" s="19">
        <f>SUM($O$2:$O72)</f>
        <v>137.25660000000002</v>
      </c>
      <c r="Q72" s="19">
        <f t="shared" si="24"/>
        <v>0.66700000000000004</v>
      </c>
      <c r="R72" s="19">
        <f>SUM($Q$2:$Q72)</f>
        <v>39.683</v>
      </c>
      <c r="S72" s="19">
        <f t="shared" si="25"/>
        <v>3.1433583185225245</v>
      </c>
      <c r="T72" s="19">
        <f t="shared" si="26"/>
        <v>3.4588261976161081</v>
      </c>
    </row>
    <row r="73" spans="1:26" s="18" customFormat="1">
      <c r="A73" s="77" t="s">
        <v>80</v>
      </c>
      <c r="B73" s="18" t="s">
        <v>19</v>
      </c>
      <c r="C73" s="77" t="s">
        <v>87</v>
      </c>
      <c r="E73" s="18">
        <v>1.36</v>
      </c>
      <c r="F73" s="18">
        <f t="shared" si="19"/>
        <v>0.66700000000000004</v>
      </c>
      <c r="G73" s="18">
        <f t="shared" si="20"/>
        <v>0.66700000000000004</v>
      </c>
      <c r="H73" s="18" t="str">
        <f>[1]AMCAS!G71</f>
        <v>A</v>
      </c>
      <c r="I73" s="18">
        <f t="shared" si="21"/>
        <v>4</v>
      </c>
      <c r="J73" s="18" t="s">
        <v>23</v>
      </c>
      <c r="K73" s="18" t="b">
        <v>1</v>
      </c>
      <c r="L73" s="18">
        <f t="shared" si="22"/>
        <v>2.6680000000000001</v>
      </c>
      <c r="M73" s="18">
        <f>SUM($L$2:$L73)</f>
        <v>450.12820000000016</v>
      </c>
      <c r="N73" s="18">
        <f>SUM($G$2:$G73)</f>
        <v>143.01800000000009</v>
      </c>
      <c r="O73" s="19">
        <f t="shared" si="23"/>
        <v>2.6680000000000001</v>
      </c>
      <c r="P73" s="19">
        <f>SUM($O$2:$O73)</f>
        <v>139.92460000000003</v>
      </c>
      <c r="Q73" s="19">
        <f t="shared" si="24"/>
        <v>0.66700000000000004</v>
      </c>
      <c r="R73" s="19">
        <f>SUM($Q$2:$Q73)</f>
        <v>40.35</v>
      </c>
      <c r="S73" s="19">
        <f t="shared" si="25"/>
        <v>3.1473534799815401</v>
      </c>
      <c r="T73" s="19">
        <f t="shared" si="26"/>
        <v>3.4677719950433712</v>
      </c>
      <c r="V73" s="11"/>
      <c r="W73" s="11"/>
      <c r="X73" s="11"/>
      <c r="Y73" s="11"/>
      <c r="Z73" s="11"/>
    </row>
    <row r="74" spans="1:26" s="11" customFormat="1">
      <c r="A74" s="78" t="s">
        <v>80</v>
      </c>
      <c r="B74" s="11" t="s">
        <v>19</v>
      </c>
      <c r="C74" s="80" t="s">
        <v>87</v>
      </c>
      <c r="E74" s="11">
        <v>4</v>
      </c>
      <c r="F74" s="11">
        <f t="shared" si="19"/>
        <v>2.6680000000000001</v>
      </c>
      <c r="G74" s="11">
        <f t="shared" si="20"/>
        <v>2.6680000000000001</v>
      </c>
      <c r="H74" s="11" t="s">
        <v>9</v>
      </c>
      <c r="I74" s="11">
        <f t="shared" si="21"/>
        <v>3.3</v>
      </c>
      <c r="J74" s="11" t="s">
        <v>23</v>
      </c>
      <c r="K74" s="11" t="b">
        <v>1</v>
      </c>
      <c r="L74" s="11">
        <f t="shared" si="22"/>
        <v>8.8043999999999993</v>
      </c>
      <c r="M74" s="11">
        <f>SUM($L$2:$L74)</f>
        <v>458.93260000000015</v>
      </c>
      <c r="N74" s="11">
        <f>SUM($G$2:$G74)</f>
        <v>145.68600000000009</v>
      </c>
      <c r="O74" s="12">
        <f t="shared" si="23"/>
        <v>8.8043999999999993</v>
      </c>
      <c r="P74" s="12">
        <f>SUM($O$2:$O74)</f>
        <v>148.72900000000001</v>
      </c>
      <c r="Q74" s="12">
        <f t="shared" si="24"/>
        <v>2.6680000000000001</v>
      </c>
      <c r="R74" s="12">
        <f>SUM($Q$2:$Q74)</f>
        <v>43.018000000000001</v>
      </c>
      <c r="S74" s="12">
        <f t="shared" si="25"/>
        <v>3.1501489504825435</v>
      </c>
      <c r="T74" s="12">
        <f t="shared" si="26"/>
        <v>3.4573666837137944</v>
      </c>
    </row>
    <row r="75" spans="1:26" s="11" customFormat="1">
      <c r="A75" s="78" t="s">
        <v>80</v>
      </c>
      <c r="B75" s="11" t="s">
        <v>19</v>
      </c>
      <c r="C75" s="17" t="s">
        <v>28</v>
      </c>
      <c r="E75" s="11">
        <v>4</v>
      </c>
      <c r="F75" s="11">
        <f t="shared" si="19"/>
        <v>2.6680000000000001</v>
      </c>
      <c r="G75" s="11">
        <f t="shared" si="20"/>
        <v>2.6680000000000001</v>
      </c>
      <c r="H75" s="11" t="s">
        <v>9</v>
      </c>
      <c r="I75" s="11">
        <f t="shared" si="21"/>
        <v>3.3</v>
      </c>
      <c r="J75" s="11" t="s">
        <v>23</v>
      </c>
      <c r="K75" s="11" t="b">
        <v>1</v>
      </c>
      <c r="L75" s="11">
        <f t="shared" si="22"/>
        <v>8.8043999999999993</v>
      </c>
      <c r="M75" s="11">
        <f>SUM($L$2:$L75)</f>
        <v>467.73700000000014</v>
      </c>
      <c r="N75" s="11">
        <f>SUM($G$2:$G75)</f>
        <v>148.3540000000001</v>
      </c>
      <c r="O75" s="12">
        <f t="shared" si="23"/>
        <v>8.8043999999999993</v>
      </c>
      <c r="P75" s="12">
        <f>SUM($O$2:$O75)</f>
        <v>157.5334</v>
      </c>
      <c r="Q75" s="12">
        <f t="shared" si="24"/>
        <v>2.6680000000000001</v>
      </c>
      <c r="R75" s="12">
        <f>SUM($Q$2:$Q75)</f>
        <v>45.686</v>
      </c>
      <c r="S75" s="12">
        <f t="shared" si="25"/>
        <v>3.152843873437857</v>
      </c>
      <c r="T75" s="12">
        <f t="shared" si="26"/>
        <v>3.4481766843234252</v>
      </c>
    </row>
    <row r="76" spans="1:26" s="11" customFormat="1">
      <c r="A76" s="78" t="s">
        <v>80</v>
      </c>
      <c r="B76" s="11" t="s">
        <v>19</v>
      </c>
      <c r="C76" s="80" t="s">
        <v>87</v>
      </c>
      <c r="E76" s="11">
        <v>4</v>
      </c>
      <c r="F76" s="11">
        <f t="shared" si="19"/>
        <v>2.6680000000000001</v>
      </c>
      <c r="G76" s="11">
        <f t="shared" si="20"/>
        <v>2.6680000000000001</v>
      </c>
      <c r="H76" s="11" t="s">
        <v>14</v>
      </c>
      <c r="I76" s="11">
        <f t="shared" si="21"/>
        <v>4</v>
      </c>
      <c r="J76" s="11" t="s">
        <v>23</v>
      </c>
      <c r="K76" s="11" t="b">
        <v>1</v>
      </c>
      <c r="L76" s="11">
        <f t="shared" si="22"/>
        <v>10.672000000000001</v>
      </c>
      <c r="M76" s="11">
        <f>SUM($L$2:$L76)</f>
        <v>478.40900000000016</v>
      </c>
      <c r="N76" s="11">
        <f>SUM($G$2:$G76)</f>
        <v>151.02200000000011</v>
      </c>
      <c r="O76" s="12">
        <f t="shared" si="23"/>
        <v>10.672000000000001</v>
      </c>
      <c r="P76" s="12">
        <f>SUM($O$2:$O76)</f>
        <v>168.2054</v>
      </c>
      <c r="Q76" s="12">
        <f t="shared" si="24"/>
        <v>2.6680000000000001</v>
      </c>
      <c r="R76" s="12">
        <f>SUM($Q$2:$Q76)</f>
        <v>48.353999999999999</v>
      </c>
      <c r="S76" s="12">
        <f t="shared" si="25"/>
        <v>3.1678099879487744</v>
      </c>
      <c r="T76" s="12">
        <f t="shared" si="26"/>
        <v>3.4786243123629896</v>
      </c>
    </row>
    <row r="77" spans="1:26" s="13" customFormat="1">
      <c r="A77" s="79" t="s">
        <v>81</v>
      </c>
      <c r="B77" s="13" t="s">
        <v>19</v>
      </c>
      <c r="C77" s="15" t="s">
        <v>27</v>
      </c>
      <c r="E77" s="13">
        <v>3</v>
      </c>
      <c r="F77" s="13">
        <f t="shared" si="19"/>
        <v>3</v>
      </c>
      <c r="G77" s="13">
        <f t="shared" si="20"/>
        <v>3</v>
      </c>
      <c r="H77" s="13" t="s">
        <v>14</v>
      </c>
      <c r="I77" s="13">
        <f t="shared" si="21"/>
        <v>4</v>
      </c>
      <c r="K77" s="13" t="b">
        <v>0</v>
      </c>
      <c r="L77" s="13">
        <f t="shared" si="22"/>
        <v>12</v>
      </c>
      <c r="M77" s="13">
        <f>SUM($L$2:$L86)</f>
        <v>571.77700000000027</v>
      </c>
      <c r="N77" s="13">
        <f>SUM($G$2:$G77)</f>
        <v>154.02200000000011</v>
      </c>
      <c r="O77" s="14">
        <f t="shared" si="23"/>
        <v>0</v>
      </c>
      <c r="P77" s="14">
        <f>SUM($O$2:$O86)</f>
        <v>237.57339999999999</v>
      </c>
      <c r="Q77" s="14">
        <f t="shared" si="24"/>
        <v>0</v>
      </c>
      <c r="R77" s="14">
        <f>SUM($Q$2:$Q86)</f>
        <v>65.695999999999998</v>
      </c>
      <c r="S77" s="14">
        <f t="shared" si="25"/>
        <v>3.7123073327187019</v>
      </c>
      <c r="T77" s="14">
        <f t="shared" si="26"/>
        <v>3.6162536531904528</v>
      </c>
    </row>
    <row r="78" spans="1:26" s="13" customFormat="1">
      <c r="A78" s="79" t="s">
        <v>81</v>
      </c>
      <c r="B78" s="13" t="s">
        <v>19</v>
      </c>
      <c r="C78" s="15" t="s">
        <v>26</v>
      </c>
      <c r="E78" s="13">
        <v>3</v>
      </c>
      <c r="F78" s="13">
        <v>3</v>
      </c>
      <c r="G78" s="13">
        <f t="shared" si="20"/>
        <v>3</v>
      </c>
      <c r="H78" s="13" t="s">
        <v>14</v>
      </c>
      <c r="I78" s="13">
        <f t="shared" si="21"/>
        <v>4</v>
      </c>
      <c r="K78" s="13" t="b">
        <v>0</v>
      </c>
      <c r="L78" s="13">
        <f t="shared" si="22"/>
        <v>12</v>
      </c>
      <c r="M78" s="13">
        <f>SUM($L$2:$L87)</f>
        <v>583.77700000000027</v>
      </c>
      <c r="N78" s="13">
        <f>SUM($G$2:$G78)</f>
        <v>157.02200000000011</v>
      </c>
      <c r="O78" s="14">
        <f t="shared" si="23"/>
        <v>0</v>
      </c>
      <c r="P78" s="14">
        <f>SUM($O$2:$O87)</f>
        <v>237.57339999999999</v>
      </c>
      <c r="Q78" s="14">
        <f t="shared" si="24"/>
        <v>0</v>
      </c>
      <c r="R78" s="14">
        <f>SUM($Q$2:$Q87)</f>
        <v>65.695999999999998</v>
      </c>
      <c r="S78" s="14">
        <f t="shared" si="25"/>
        <v>3.7178038746162949</v>
      </c>
      <c r="T78" s="14">
        <f t="shared" si="26"/>
        <v>3.6162536531904528</v>
      </c>
      <c r="V78" s="1"/>
      <c r="W78" s="1"/>
      <c r="X78" s="1"/>
      <c r="Y78" s="1"/>
      <c r="Z78" s="1"/>
    </row>
    <row r="79" spans="1:26" s="11" customFormat="1">
      <c r="A79" s="78" t="s">
        <v>80</v>
      </c>
      <c r="B79" s="11" t="s">
        <v>19</v>
      </c>
      <c r="C79" s="81" t="s">
        <v>87</v>
      </c>
      <c r="E79" s="11">
        <v>4</v>
      </c>
      <c r="F79" s="11">
        <f t="shared" ref="F79:F92" si="27">IF(D79="x",0,IF(K79=TRUE,IF(E79="",0,VLOOKUP(E79,$E$111:$F$129,2)),E79))</f>
        <v>2.6680000000000001</v>
      </c>
      <c r="G79" s="11">
        <f t="shared" si="20"/>
        <v>2.6680000000000001</v>
      </c>
      <c r="H79" s="11" t="s">
        <v>14</v>
      </c>
      <c r="I79" s="11">
        <f t="shared" si="21"/>
        <v>4</v>
      </c>
      <c r="J79" s="11" t="s">
        <v>23</v>
      </c>
      <c r="K79" s="11" t="b">
        <v>1</v>
      </c>
      <c r="L79" s="11">
        <f t="shared" si="22"/>
        <v>10.672000000000001</v>
      </c>
      <c r="M79" s="11">
        <f>SUM($L$2:$L79)</f>
        <v>513.08100000000013</v>
      </c>
      <c r="N79" s="11">
        <f>SUM($G$2:$G79)</f>
        <v>159.69000000000011</v>
      </c>
      <c r="O79" s="12">
        <f t="shared" si="23"/>
        <v>10.672000000000001</v>
      </c>
      <c r="P79" s="12">
        <f>SUM($O$2:$O79)</f>
        <v>178.87739999999999</v>
      </c>
      <c r="Q79" s="12">
        <f t="shared" si="24"/>
        <v>2.6680000000000001</v>
      </c>
      <c r="R79" s="12">
        <f>SUM($Q$2:$Q79)</f>
        <v>51.021999999999998</v>
      </c>
      <c r="S79" s="12">
        <f t="shared" si="25"/>
        <v>3.2129814014653375</v>
      </c>
      <c r="T79" s="12">
        <f t="shared" si="26"/>
        <v>3.5058876563051231</v>
      </c>
    </row>
    <row r="80" spans="1:26" s="11" customFormat="1">
      <c r="A80" s="78" t="s">
        <v>80</v>
      </c>
      <c r="B80" s="11" t="s">
        <v>19</v>
      </c>
      <c r="C80" s="16" t="s">
        <v>25</v>
      </c>
      <c r="E80" s="11">
        <v>4</v>
      </c>
      <c r="F80" s="11">
        <f t="shared" si="27"/>
        <v>2.6680000000000001</v>
      </c>
      <c r="G80" s="11">
        <f t="shared" si="20"/>
        <v>2.6680000000000001</v>
      </c>
      <c r="H80" s="11" t="s">
        <v>14</v>
      </c>
      <c r="I80" s="11">
        <f t="shared" si="21"/>
        <v>4</v>
      </c>
      <c r="J80" s="11" t="s">
        <v>23</v>
      </c>
      <c r="K80" s="11" t="b">
        <v>1</v>
      </c>
      <c r="L80" s="11">
        <f t="shared" si="22"/>
        <v>10.672000000000001</v>
      </c>
      <c r="M80" s="11">
        <f>SUM($L$2:$L80)</f>
        <v>523.75300000000016</v>
      </c>
      <c r="N80" s="11">
        <f>SUM($G$2:$G80)</f>
        <v>162.35800000000012</v>
      </c>
      <c r="O80" s="12">
        <f t="shared" si="23"/>
        <v>10.672000000000001</v>
      </c>
      <c r="P80" s="12">
        <f>SUM($O$2:$O80)</f>
        <v>189.54939999999999</v>
      </c>
      <c r="Q80" s="12">
        <f t="shared" si="24"/>
        <v>2.6680000000000001</v>
      </c>
      <c r="R80" s="12">
        <f>SUM($Q$2:$Q80)</f>
        <v>53.69</v>
      </c>
      <c r="S80" s="12">
        <f t="shared" si="25"/>
        <v>3.2259143374518024</v>
      </c>
      <c r="T80" s="12">
        <f t="shared" si="26"/>
        <v>3.5304414229837957</v>
      </c>
    </row>
    <row r="81" spans="1:26" s="11" customFormat="1">
      <c r="A81" s="78" t="s">
        <v>80</v>
      </c>
      <c r="B81" s="11" t="s">
        <v>19</v>
      </c>
      <c r="C81" s="16" t="s">
        <v>24</v>
      </c>
      <c r="E81" s="11">
        <v>1.36</v>
      </c>
      <c r="F81" s="11">
        <f t="shared" si="27"/>
        <v>0.66700000000000004</v>
      </c>
      <c r="G81" s="11">
        <f t="shared" si="20"/>
        <v>0.66700000000000004</v>
      </c>
      <c r="H81" s="11" t="s">
        <v>14</v>
      </c>
      <c r="I81" s="11">
        <f t="shared" si="21"/>
        <v>4</v>
      </c>
      <c r="J81" s="11" t="s">
        <v>23</v>
      </c>
      <c r="K81" s="11" t="b">
        <v>1</v>
      </c>
      <c r="L81" s="11">
        <f t="shared" si="22"/>
        <v>2.6680000000000001</v>
      </c>
      <c r="M81" s="11">
        <f>SUM($L$2:$L81)</f>
        <v>526.42100000000016</v>
      </c>
      <c r="N81" s="11">
        <f>SUM($G$2:$G81)</f>
        <v>163.02500000000012</v>
      </c>
      <c r="O81" s="12">
        <f t="shared" si="23"/>
        <v>2.6680000000000001</v>
      </c>
      <c r="P81" s="12">
        <f>SUM($O$2:$O81)</f>
        <v>192.2174</v>
      </c>
      <c r="Q81" s="12">
        <f t="shared" si="24"/>
        <v>0.66700000000000004</v>
      </c>
      <c r="R81" s="12">
        <f>SUM($Q$2:$Q81)</f>
        <v>54.356999999999999</v>
      </c>
      <c r="S81" s="12">
        <f t="shared" si="25"/>
        <v>3.2290814292286445</v>
      </c>
      <c r="T81" s="12">
        <f t="shared" si="26"/>
        <v>3.5362032488915873</v>
      </c>
    </row>
    <row r="82" spans="1:26" s="11" customFormat="1">
      <c r="A82" s="78" t="s">
        <v>80</v>
      </c>
      <c r="B82" s="11" t="s">
        <v>19</v>
      </c>
      <c r="C82" s="81" t="s">
        <v>87</v>
      </c>
      <c r="E82" s="11">
        <v>4</v>
      </c>
      <c r="F82" s="11">
        <f t="shared" si="27"/>
        <v>2.6680000000000001</v>
      </c>
      <c r="G82" s="11">
        <f t="shared" si="20"/>
        <v>2.6680000000000001</v>
      </c>
      <c r="H82" s="11" t="s">
        <v>14</v>
      </c>
      <c r="I82" s="11">
        <f t="shared" si="21"/>
        <v>4</v>
      </c>
      <c r="J82" s="11" t="s">
        <v>23</v>
      </c>
      <c r="K82" s="11" t="b">
        <v>1</v>
      </c>
      <c r="L82" s="11">
        <f t="shared" si="22"/>
        <v>10.672000000000001</v>
      </c>
      <c r="M82" s="11">
        <f>SUM($L$2:$L82)</f>
        <v>537.09300000000019</v>
      </c>
      <c r="N82" s="11">
        <f>SUM($G$2:$G82)</f>
        <v>165.69300000000013</v>
      </c>
      <c r="O82" s="12">
        <f t="shared" si="23"/>
        <v>10.672000000000001</v>
      </c>
      <c r="P82" s="12">
        <f>SUM($O$2:$O82)</f>
        <v>202.88939999999999</v>
      </c>
      <c r="Q82" s="12">
        <f t="shared" si="24"/>
        <v>2.6680000000000001</v>
      </c>
      <c r="R82" s="12">
        <f>SUM($Q$2:$Q82)</f>
        <v>57.024999999999999</v>
      </c>
      <c r="S82" s="12">
        <f t="shared" si="25"/>
        <v>3.2414948126957674</v>
      </c>
      <c r="T82" s="12">
        <f t="shared" si="26"/>
        <v>3.557902674265673</v>
      </c>
    </row>
    <row r="83" spans="1:26" s="11" customFormat="1">
      <c r="A83" s="78" t="s">
        <v>80</v>
      </c>
      <c r="B83" s="11" t="s">
        <v>19</v>
      </c>
      <c r="C83" s="82" t="s">
        <v>87</v>
      </c>
      <c r="E83" s="11">
        <v>4</v>
      </c>
      <c r="F83" s="11">
        <f t="shared" si="27"/>
        <v>2.6680000000000001</v>
      </c>
      <c r="G83" s="11">
        <f t="shared" si="20"/>
        <v>2.6680000000000001</v>
      </c>
      <c r="H83" s="11" t="s">
        <v>14</v>
      </c>
      <c r="I83" s="11">
        <f t="shared" si="21"/>
        <v>4</v>
      </c>
      <c r="J83" s="11" t="s">
        <v>23</v>
      </c>
      <c r="K83" s="11" t="b">
        <v>1</v>
      </c>
      <c r="L83" s="11">
        <f t="shared" si="22"/>
        <v>10.672000000000001</v>
      </c>
      <c r="M83" s="11">
        <f>SUM($L$2:$L83)</f>
        <v>547.76500000000021</v>
      </c>
      <c r="N83" s="11">
        <f>SUM($G$2:$G83)</f>
        <v>168.36100000000013</v>
      </c>
      <c r="O83" s="12">
        <f t="shared" si="23"/>
        <v>10.672000000000001</v>
      </c>
      <c r="P83" s="12">
        <f>SUM($O$2:$O83)</f>
        <v>213.56139999999999</v>
      </c>
      <c r="Q83" s="12">
        <f t="shared" si="24"/>
        <v>2.6680000000000001</v>
      </c>
      <c r="R83" s="12">
        <f>SUM($Q$2:$Q83)</f>
        <v>59.692999999999998</v>
      </c>
      <c r="S83" s="12">
        <f t="shared" si="25"/>
        <v>3.2535147688597701</v>
      </c>
      <c r="T83" s="12">
        <f t="shared" si="26"/>
        <v>3.5776623724724841</v>
      </c>
    </row>
    <row r="84" spans="1:26" s="11" customFormat="1">
      <c r="A84" s="78" t="s">
        <v>80</v>
      </c>
      <c r="B84" s="11" t="s">
        <v>19</v>
      </c>
      <c r="C84" s="82" t="s">
        <v>87</v>
      </c>
      <c r="E84" s="11">
        <v>4</v>
      </c>
      <c r="F84" s="11">
        <f t="shared" si="27"/>
        <v>2.6680000000000001</v>
      </c>
      <c r="G84" s="11">
        <f t="shared" si="20"/>
        <v>2.6680000000000001</v>
      </c>
      <c r="H84" s="11" t="s">
        <v>14</v>
      </c>
      <c r="I84" s="11">
        <f t="shared" si="21"/>
        <v>4</v>
      </c>
      <c r="J84" s="11" t="s">
        <v>23</v>
      </c>
      <c r="K84" s="11" t="b">
        <v>1</v>
      </c>
      <c r="L84" s="11">
        <f t="shared" si="22"/>
        <v>10.672000000000001</v>
      </c>
      <c r="M84" s="11">
        <f>SUM($L$2:$L84)</f>
        <v>558.43700000000024</v>
      </c>
      <c r="N84" s="11">
        <f>SUM($G$2:$G84)</f>
        <v>171.02900000000014</v>
      </c>
      <c r="O84" s="12">
        <f t="shared" si="23"/>
        <v>10.672000000000001</v>
      </c>
      <c r="P84" s="12">
        <f>SUM($O$2:$O84)</f>
        <v>224.23339999999999</v>
      </c>
      <c r="Q84" s="12">
        <f t="shared" si="24"/>
        <v>2.6680000000000001</v>
      </c>
      <c r="R84" s="12">
        <f>SUM($Q$2:$Q84)</f>
        <v>62.360999999999997</v>
      </c>
      <c r="S84" s="12">
        <f t="shared" si="25"/>
        <v>3.2651597097568237</v>
      </c>
      <c r="T84" s="12">
        <f t="shared" si="26"/>
        <v>3.5957313064254901</v>
      </c>
    </row>
    <row r="85" spans="1:26" s="11" customFormat="1">
      <c r="A85" s="78" t="s">
        <v>80</v>
      </c>
      <c r="B85" s="11" t="s">
        <v>19</v>
      </c>
      <c r="C85" s="82" t="s">
        <v>87</v>
      </c>
      <c r="E85" s="11">
        <v>4</v>
      </c>
      <c r="F85" s="11">
        <f t="shared" si="27"/>
        <v>2.6680000000000001</v>
      </c>
      <c r="G85" s="11">
        <f t="shared" si="20"/>
        <v>2.6680000000000001</v>
      </c>
      <c r="H85" s="11" t="s">
        <v>14</v>
      </c>
      <c r="I85" s="11">
        <f t="shared" si="21"/>
        <v>4</v>
      </c>
      <c r="J85" s="11" t="s">
        <v>23</v>
      </c>
      <c r="K85" s="11" t="b">
        <v>1</v>
      </c>
      <c r="L85" s="11">
        <f t="shared" si="22"/>
        <v>10.672000000000001</v>
      </c>
      <c r="M85" s="11">
        <f>SUM($L$2:$L85)</f>
        <v>569.10900000000026</v>
      </c>
      <c r="N85" s="11">
        <f>SUM($G$2:$G85)</f>
        <v>173.69700000000014</v>
      </c>
      <c r="O85" s="12">
        <f t="shared" si="23"/>
        <v>10.672000000000001</v>
      </c>
      <c r="P85" s="12">
        <f>SUM($O$2:$O85)</f>
        <v>234.90539999999999</v>
      </c>
      <c r="Q85" s="12">
        <f t="shared" si="24"/>
        <v>2.6680000000000001</v>
      </c>
      <c r="R85" s="12">
        <f>SUM($Q$2:$Q85)</f>
        <v>65.028999999999996</v>
      </c>
      <c r="S85" s="12">
        <f t="shared" si="25"/>
        <v>3.2764469161816252</v>
      </c>
      <c r="T85" s="12">
        <f t="shared" si="26"/>
        <v>3.6123175813867658</v>
      </c>
    </row>
    <row r="86" spans="1:26" s="11" customFormat="1">
      <c r="A86" s="78" t="s">
        <v>80</v>
      </c>
      <c r="B86" s="11" t="s">
        <v>19</v>
      </c>
      <c r="C86" s="82" t="s">
        <v>87</v>
      </c>
      <c r="E86" s="11">
        <v>1.36</v>
      </c>
      <c r="F86" s="11">
        <f t="shared" si="27"/>
        <v>0.66700000000000004</v>
      </c>
      <c r="G86" s="11">
        <f t="shared" si="20"/>
        <v>0.66700000000000004</v>
      </c>
      <c r="H86" s="11" t="s">
        <v>14</v>
      </c>
      <c r="I86" s="11">
        <f t="shared" si="21"/>
        <v>4</v>
      </c>
      <c r="J86" s="11" t="s">
        <v>23</v>
      </c>
      <c r="K86" s="11" t="b">
        <v>1</v>
      </c>
      <c r="L86" s="11">
        <f t="shared" si="22"/>
        <v>2.6680000000000001</v>
      </c>
      <c r="M86" s="11">
        <f>SUM($L$2:$L86)</f>
        <v>571.77700000000027</v>
      </c>
      <c r="N86" s="11">
        <f>SUM($G$2:$G86)</f>
        <v>174.36400000000015</v>
      </c>
      <c r="O86" s="12">
        <f t="shared" si="23"/>
        <v>2.6680000000000001</v>
      </c>
      <c r="P86" s="12">
        <f>SUM($O$2:$O86)</f>
        <v>237.57339999999999</v>
      </c>
      <c r="Q86" s="12">
        <f t="shared" si="24"/>
        <v>0.66700000000000004</v>
      </c>
      <c r="R86" s="12">
        <f>SUM($Q$2:$Q86)</f>
        <v>65.695999999999998</v>
      </c>
      <c r="S86" s="12">
        <f t="shared" si="25"/>
        <v>3.2792147461631975</v>
      </c>
      <c r="T86" s="12">
        <f t="shared" si="26"/>
        <v>3.6162536531904528</v>
      </c>
      <c r="V86" s="13"/>
      <c r="W86" s="13"/>
      <c r="X86" s="13"/>
      <c r="Y86" s="13"/>
      <c r="Z86" s="13"/>
    </row>
    <row r="87" spans="1:26" s="13" customFormat="1">
      <c r="A87" s="79" t="s">
        <v>81</v>
      </c>
      <c r="B87" s="13" t="s">
        <v>19</v>
      </c>
      <c r="C87" s="15" t="s">
        <v>22</v>
      </c>
      <c r="E87" s="13">
        <v>3</v>
      </c>
      <c r="F87" s="13">
        <f t="shared" si="27"/>
        <v>3</v>
      </c>
      <c r="G87" s="13">
        <f t="shared" si="20"/>
        <v>3</v>
      </c>
      <c r="H87" s="13" t="s">
        <v>14</v>
      </c>
      <c r="I87" s="13">
        <f t="shared" si="21"/>
        <v>4</v>
      </c>
      <c r="K87" s="13" t="b">
        <v>0</v>
      </c>
      <c r="L87" s="13">
        <f t="shared" si="22"/>
        <v>12</v>
      </c>
      <c r="M87" s="13">
        <f>SUM($L$2:$L87)</f>
        <v>583.77700000000027</v>
      </c>
      <c r="N87" s="13">
        <f>SUM($G$2:$G87)</f>
        <v>177.36400000000015</v>
      </c>
      <c r="O87" s="14">
        <f t="shared" si="23"/>
        <v>0</v>
      </c>
      <c r="P87" s="14">
        <f>SUM($O$2:$O87)</f>
        <v>237.57339999999999</v>
      </c>
      <c r="Q87" s="14">
        <f t="shared" si="24"/>
        <v>0</v>
      </c>
      <c r="R87" s="14">
        <f>SUM($Q$2:$Q87)</f>
        <v>65.695999999999998</v>
      </c>
      <c r="S87" s="14">
        <f t="shared" si="25"/>
        <v>3.2914063733339334</v>
      </c>
      <c r="T87" s="14">
        <f t="shared" si="26"/>
        <v>3.6162536531904528</v>
      </c>
    </row>
    <row r="88" spans="1:26" s="13" customFormat="1">
      <c r="A88" s="79" t="s">
        <v>81</v>
      </c>
      <c r="B88" s="13" t="s">
        <v>19</v>
      </c>
      <c r="C88" s="79" t="s">
        <v>49</v>
      </c>
      <c r="E88" s="13">
        <v>3</v>
      </c>
      <c r="F88" s="13">
        <f t="shared" si="27"/>
        <v>3</v>
      </c>
      <c r="G88" s="13">
        <f t="shared" si="20"/>
        <v>3</v>
      </c>
      <c r="H88" s="13" t="s">
        <v>14</v>
      </c>
      <c r="I88" s="13">
        <f t="shared" si="21"/>
        <v>4</v>
      </c>
      <c r="K88" s="13" t="b">
        <v>0</v>
      </c>
      <c r="L88" s="13">
        <f t="shared" si="22"/>
        <v>12</v>
      </c>
      <c r="M88" s="13">
        <f>SUM($L$2:$L88)</f>
        <v>595.77700000000027</v>
      </c>
      <c r="N88" s="13">
        <f>SUM($G$2:$G88)</f>
        <v>180.36400000000015</v>
      </c>
      <c r="O88" s="14">
        <f t="shared" si="23"/>
        <v>0</v>
      </c>
      <c r="P88" s="14">
        <f>SUM($O$2:$O88)</f>
        <v>237.57339999999999</v>
      </c>
      <c r="Q88" s="14">
        <f t="shared" si="24"/>
        <v>0</v>
      </c>
      <c r="R88" s="14">
        <f>SUM($Q$2:$Q88)</f>
        <v>65.695999999999998</v>
      </c>
      <c r="S88" s="14">
        <f t="shared" si="25"/>
        <v>3.3031924330797708</v>
      </c>
      <c r="T88" s="14">
        <f t="shared" si="26"/>
        <v>3.6162536531904528</v>
      </c>
    </row>
    <row r="89" spans="1:26" s="13" customFormat="1">
      <c r="A89" s="79" t="s">
        <v>81</v>
      </c>
      <c r="B89" s="13" t="s">
        <v>19</v>
      </c>
      <c r="C89" s="79" t="s">
        <v>86</v>
      </c>
      <c r="E89" s="13">
        <v>3</v>
      </c>
      <c r="F89" s="13">
        <f t="shared" si="27"/>
        <v>3</v>
      </c>
      <c r="G89" s="13">
        <f t="shared" si="20"/>
        <v>3</v>
      </c>
      <c r="H89" s="13" t="s">
        <v>14</v>
      </c>
      <c r="I89" s="13">
        <f t="shared" si="21"/>
        <v>4</v>
      </c>
      <c r="K89" s="13" t="b">
        <v>0</v>
      </c>
      <c r="L89" s="13">
        <f t="shared" si="22"/>
        <v>12</v>
      </c>
      <c r="M89" s="13">
        <f>SUM($L$2:$L89)</f>
        <v>607.77700000000027</v>
      </c>
      <c r="N89" s="13">
        <f>SUM($G$2:$G89)</f>
        <v>183.36400000000015</v>
      </c>
      <c r="O89" s="14">
        <f t="shared" si="23"/>
        <v>0</v>
      </c>
      <c r="P89" s="14">
        <f>SUM($O$2:$O89)</f>
        <v>237.57339999999999</v>
      </c>
      <c r="Q89" s="14">
        <f t="shared" si="24"/>
        <v>0</v>
      </c>
      <c r="R89" s="14">
        <f>SUM($Q$2:$Q89)</f>
        <v>65.695999999999998</v>
      </c>
      <c r="S89" s="14">
        <f t="shared" si="25"/>
        <v>3.3145928317445068</v>
      </c>
      <c r="T89" s="14">
        <f t="shared" si="26"/>
        <v>3.6162536531904528</v>
      </c>
    </row>
    <row r="90" spans="1:26" s="13" customFormat="1">
      <c r="A90" s="79" t="s">
        <v>81</v>
      </c>
      <c r="B90" s="13" t="s">
        <v>19</v>
      </c>
      <c r="C90" s="15" t="s">
        <v>21</v>
      </c>
      <c r="E90" s="13">
        <v>4</v>
      </c>
      <c r="F90" s="13">
        <f t="shared" si="27"/>
        <v>4</v>
      </c>
      <c r="G90" s="13">
        <f t="shared" si="20"/>
        <v>4</v>
      </c>
      <c r="H90" s="13" t="s">
        <v>14</v>
      </c>
      <c r="I90" s="13">
        <f t="shared" si="21"/>
        <v>4</v>
      </c>
      <c r="K90" s="13" t="b">
        <v>0</v>
      </c>
      <c r="L90" s="13">
        <f t="shared" si="22"/>
        <v>16</v>
      </c>
      <c r="M90" s="13">
        <f>SUM($L$2:$L90)</f>
        <v>623.77700000000027</v>
      </c>
      <c r="N90" s="13">
        <f>SUM($G$2:$G90)</f>
        <v>187.36400000000015</v>
      </c>
      <c r="O90" s="14">
        <f t="shared" si="23"/>
        <v>0</v>
      </c>
      <c r="P90" s="14">
        <f>SUM($O$2:$O90)</f>
        <v>237.57339999999999</v>
      </c>
      <c r="Q90" s="14">
        <f t="shared" si="24"/>
        <v>0</v>
      </c>
      <c r="R90" s="14">
        <f>SUM($Q$2:$Q90)</f>
        <v>65.695999999999998</v>
      </c>
      <c r="S90" s="14">
        <f t="shared" si="25"/>
        <v>3.3292254648705182</v>
      </c>
      <c r="T90" s="14">
        <f t="shared" si="26"/>
        <v>3.6162536531904528</v>
      </c>
    </row>
    <row r="91" spans="1:26" s="13" customFormat="1">
      <c r="A91" s="79" t="s">
        <v>81</v>
      </c>
      <c r="B91" s="13" t="s">
        <v>19</v>
      </c>
      <c r="C91" s="15" t="s">
        <v>20</v>
      </c>
      <c r="E91" s="13">
        <v>3</v>
      </c>
      <c r="F91" s="13">
        <f t="shared" si="27"/>
        <v>3</v>
      </c>
      <c r="G91" s="13">
        <f t="shared" si="20"/>
        <v>3</v>
      </c>
      <c r="H91" s="13" t="s">
        <v>14</v>
      </c>
      <c r="I91" s="13">
        <f t="shared" si="21"/>
        <v>4</v>
      </c>
      <c r="K91" s="13" t="b">
        <v>0</v>
      </c>
      <c r="L91" s="13">
        <f t="shared" si="22"/>
        <v>12</v>
      </c>
      <c r="M91" s="13">
        <f>SUM($L$2:$L91)</f>
        <v>635.77700000000027</v>
      </c>
      <c r="N91" s="13">
        <f>SUM($G$2:$G91)</f>
        <v>190.36400000000015</v>
      </c>
      <c r="O91" s="14">
        <f t="shared" si="23"/>
        <v>0</v>
      </c>
      <c r="P91" s="14">
        <f>SUM($O$2:$O91)</f>
        <v>237.57339999999999</v>
      </c>
      <c r="Q91" s="14">
        <f t="shared" si="24"/>
        <v>0</v>
      </c>
      <c r="R91" s="14">
        <f>SUM($Q$2:$Q91)</f>
        <v>65.695999999999998</v>
      </c>
      <c r="S91" s="14">
        <f t="shared" si="25"/>
        <v>3.3397963900737522</v>
      </c>
      <c r="T91" s="14">
        <f t="shared" si="26"/>
        <v>3.6162536531904528</v>
      </c>
    </row>
    <row r="92" spans="1:26" s="11" customFormat="1">
      <c r="A92" s="78" t="s">
        <v>80</v>
      </c>
      <c r="B92" s="11" t="s">
        <v>19</v>
      </c>
      <c r="C92" s="78" t="s">
        <v>88</v>
      </c>
      <c r="E92" s="11">
        <v>8</v>
      </c>
      <c r="F92" s="11">
        <f t="shared" si="27"/>
        <v>8</v>
      </c>
      <c r="G92" s="11">
        <f t="shared" si="20"/>
        <v>8</v>
      </c>
      <c r="H92" s="11" t="s">
        <v>14</v>
      </c>
      <c r="I92" s="11">
        <f t="shared" si="21"/>
        <v>4</v>
      </c>
      <c r="K92" s="11" t="b">
        <v>0</v>
      </c>
      <c r="L92" s="11">
        <f t="shared" si="22"/>
        <v>32</v>
      </c>
      <c r="M92" s="11">
        <f>SUM($L$2:$L92)</f>
        <v>667.77700000000027</v>
      </c>
      <c r="N92" s="11">
        <f>SUM($G$2:$G92)</f>
        <v>198.36400000000015</v>
      </c>
      <c r="O92" s="12">
        <f t="shared" si="23"/>
        <v>0</v>
      </c>
      <c r="P92" s="12">
        <f>SUM($O$2:$O92)</f>
        <v>237.57339999999999</v>
      </c>
      <c r="Q92" s="12">
        <f t="shared" si="24"/>
        <v>0</v>
      </c>
      <c r="R92" s="12">
        <f>SUM($Q$2:$Q92)</f>
        <v>65.695999999999998</v>
      </c>
      <c r="S92" s="12">
        <f t="shared" si="25"/>
        <v>3.3664223346978273</v>
      </c>
      <c r="T92" s="12">
        <f t="shared" si="26"/>
        <v>3.6162536531904528</v>
      </c>
    </row>
    <row r="93" spans="1:26">
      <c r="F93" s="1">
        <f>IF(K93=TRUE,IF(E93="",0,VLOOKUP(E93,$E$111:$F$129,2)),E93)</f>
        <v>0</v>
      </c>
    </row>
    <row r="97" spans="1:13">
      <c r="M97" s="1">
        <f>M92/N92</f>
        <v>3.3664223346978273</v>
      </c>
    </row>
    <row r="110" spans="1:13" ht="49">
      <c r="A110" s="10" t="s">
        <v>18</v>
      </c>
      <c r="B110" s="10" t="s">
        <v>17</v>
      </c>
      <c r="E110" s="10" t="s">
        <v>16</v>
      </c>
      <c r="F110" s="9" t="s">
        <v>15</v>
      </c>
      <c r="G110" s="8"/>
      <c r="H110" s="8"/>
    </row>
    <row r="111" spans="1:13">
      <c r="A111" s="5" t="s">
        <v>2</v>
      </c>
      <c r="B111" s="5">
        <v>0</v>
      </c>
      <c r="E111" s="5">
        <v>0.5</v>
      </c>
      <c r="F111" s="5">
        <v>0.3</v>
      </c>
      <c r="G111" s="4"/>
    </row>
    <row r="112" spans="1:13">
      <c r="A112" s="7" t="s">
        <v>14</v>
      </c>
      <c r="B112" s="6">
        <v>4</v>
      </c>
      <c r="E112" s="6">
        <v>1</v>
      </c>
      <c r="F112" s="5">
        <v>0.66700000000000004</v>
      </c>
      <c r="G112" s="4"/>
    </row>
    <row r="113" spans="1:12">
      <c r="A113" s="7" t="s">
        <v>13</v>
      </c>
      <c r="B113" s="6">
        <v>3.7</v>
      </c>
      <c r="E113" s="6">
        <v>1.5</v>
      </c>
      <c r="F113" s="5">
        <v>1</v>
      </c>
      <c r="G113" s="4"/>
    </row>
    <row r="114" spans="1:12">
      <c r="A114" s="7" t="s">
        <v>12</v>
      </c>
      <c r="B114" s="6">
        <v>4</v>
      </c>
      <c r="E114" s="6">
        <v>2</v>
      </c>
      <c r="F114" s="5">
        <v>1.3</v>
      </c>
      <c r="G114" s="4"/>
    </row>
    <row r="115" spans="1:12">
      <c r="A115" s="7" t="s">
        <v>11</v>
      </c>
      <c r="B115" s="6">
        <v>3</v>
      </c>
      <c r="E115" s="6">
        <v>2.5</v>
      </c>
      <c r="F115" s="5">
        <v>1.7</v>
      </c>
      <c r="G115" s="4"/>
      <c r="L115" s="1">
        <f>F112*4</f>
        <v>2.6680000000000001</v>
      </c>
    </row>
    <row r="116" spans="1:12">
      <c r="A116" s="7" t="s">
        <v>10</v>
      </c>
      <c r="B116" s="6">
        <v>2.7</v>
      </c>
      <c r="E116" s="6">
        <v>3</v>
      </c>
      <c r="F116" s="5">
        <v>2</v>
      </c>
      <c r="G116" s="4"/>
    </row>
    <row r="117" spans="1:12">
      <c r="A117" s="7" t="s">
        <v>9</v>
      </c>
      <c r="B117" s="6">
        <v>3.3</v>
      </c>
      <c r="E117" s="5">
        <v>3.5</v>
      </c>
      <c r="F117" s="5">
        <v>2.2999999999999998</v>
      </c>
      <c r="G117" s="4"/>
    </row>
    <row r="118" spans="1:12">
      <c r="A118" s="7" t="s">
        <v>8</v>
      </c>
      <c r="B118" s="6">
        <v>2</v>
      </c>
      <c r="E118" s="6">
        <v>4</v>
      </c>
      <c r="F118" s="5">
        <v>2.6680000000000001</v>
      </c>
      <c r="G118" s="4"/>
    </row>
    <row r="119" spans="1:12">
      <c r="A119" s="7" t="s">
        <v>7</v>
      </c>
      <c r="B119" s="6">
        <v>1.7</v>
      </c>
      <c r="E119" s="6">
        <v>4.5</v>
      </c>
      <c r="F119" s="5">
        <v>3</v>
      </c>
      <c r="G119" s="4"/>
    </row>
    <row r="120" spans="1:12">
      <c r="A120" s="7" t="s">
        <v>6</v>
      </c>
      <c r="B120" s="6">
        <v>2.2999999999999998</v>
      </c>
      <c r="E120" s="6">
        <v>5</v>
      </c>
      <c r="F120" s="5">
        <v>3.3</v>
      </c>
      <c r="G120" s="4"/>
    </row>
    <row r="121" spans="1:12">
      <c r="A121" s="7" t="s">
        <v>5</v>
      </c>
      <c r="B121" s="6">
        <v>1</v>
      </c>
      <c r="E121" s="6">
        <v>6</v>
      </c>
      <c r="F121" s="5">
        <v>4</v>
      </c>
      <c r="G121" s="4"/>
    </row>
    <row r="122" spans="1:12">
      <c r="A122" s="7" t="s">
        <v>4</v>
      </c>
      <c r="B122" s="6">
        <v>0.7</v>
      </c>
      <c r="E122" s="6">
        <v>7</v>
      </c>
      <c r="F122" s="5">
        <v>4.7</v>
      </c>
      <c r="G122" s="4"/>
    </row>
    <row r="123" spans="1:12">
      <c r="A123" s="7" t="s">
        <v>3</v>
      </c>
      <c r="B123" s="6">
        <v>1.3</v>
      </c>
      <c r="E123" s="6">
        <v>8</v>
      </c>
      <c r="F123" s="5">
        <f>2*F118</f>
        <v>5.3360000000000003</v>
      </c>
      <c r="G123" s="4"/>
    </row>
    <row r="124" spans="1:12">
      <c r="A124" s="7" t="s">
        <v>2</v>
      </c>
      <c r="B124" s="6">
        <v>0</v>
      </c>
      <c r="E124" s="6">
        <v>9</v>
      </c>
      <c r="F124" s="5">
        <v>6</v>
      </c>
      <c r="G124" s="4"/>
    </row>
    <row r="125" spans="1:12">
      <c r="A125" s="7" t="s">
        <v>1</v>
      </c>
      <c r="B125" s="6">
        <v>0</v>
      </c>
      <c r="E125" s="6">
        <v>10</v>
      </c>
      <c r="F125" s="5">
        <v>6.7</v>
      </c>
      <c r="G125" s="4"/>
    </row>
    <row r="126" spans="1:12">
      <c r="E126" s="5">
        <v>12</v>
      </c>
      <c r="F126" s="5">
        <v>8</v>
      </c>
      <c r="G126" s="4"/>
    </row>
    <row r="127" spans="1:12">
      <c r="E127" s="5">
        <v>15</v>
      </c>
      <c r="F127" s="5">
        <v>10</v>
      </c>
      <c r="G127" s="4"/>
    </row>
    <row r="128" spans="1:12">
      <c r="E128" s="5">
        <v>20</v>
      </c>
      <c r="F128" s="5">
        <v>13.3</v>
      </c>
      <c r="G128" s="4"/>
    </row>
    <row r="129" spans="5:7">
      <c r="E129" s="5" t="s">
        <v>0</v>
      </c>
      <c r="F129" s="5">
        <v>0</v>
      </c>
      <c r="G129" s="4"/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AACOMAS</vt:lpstr>
    </vt:vector>
  </TitlesOfParts>
  <Company>Northwestern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M</dc:creator>
  <cp:lastModifiedBy>Sophie M</cp:lastModifiedBy>
  <dcterms:created xsi:type="dcterms:W3CDTF">2015-12-20T23:37:50Z</dcterms:created>
  <dcterms:modified xsi:type="dcterms:W3CDTF">2015-12-20T23:57:59Z</dcterms:modified>
</cp:coreProperties>
</file>