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s\"/>
    </mc:Choice>
  </mc:AlternateContent>
  <xr:revisionPtr revIDLastSave="0" documentId="10_ncr:8100000_{5FDEDBAB-98CA-4EB1-9C9E-2CE916DCCD59}" xr6:coauthVersionLast="34" xr6:coauthVersionMax="34" xr10:uidLastSave="{00000000-0000-0000-0000-000000000000}"/>
  <bookViews>
    <workbookView xWindow="0" yWindow="0" windowWidth="11586" windowHeight="8712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09" i="1" l="1"/>
  <c r="O106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07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2" i="1"/>
  <c r="AC88" i="1" l="1"/>
  <c r="F92" i="1"/>
  <c r="E92" i="1"/>
  <c r="AC91" i="1" l="1"/>
  <c r="F91" i="1"/>
  <c r="AC90" i="1"/>
  <c r="D89" i="1"/>
  <c r="K89" i="1"/>
  <c r="AC89" i="1"/>
  <c r="F118" i="1"/>
  <c r="E118" i="1"/>
  <c r="AC118" i="1"/>
  <c r="AC117" i="1"/>
  <c r="F116" i="1"/>
  <c r="AC116" i="1"/>
  <c r="AC114" i="1" l="1"/>
  <c r="K113" i="1"/>
  <c r="AC103" i="1" l="1"/>
  <c r="G102" i="1" l="1"/>
  <c r="AC102" i="1"/>
  <c r="AC101" i="1"/>
  <c r="AE3" i="1"/>
  <c r="AE63" i="1"/>
  <c r="D101" i="1" l="1"/>
  <c r="E101" i="1"/>
  <c r="F101" i="1" s="1"/>
  <c r="AC100" i="1" l="1"/>
  <c r="F100" i="1"/>
  <c r="AC99" i="1" l="1"/>
  <c r="N99" i="1"/>
  <c r="D99" i="1"/>
  <c r="E99" i="1"/>
  <c r="F99" i="1" s="1"/>
  <c r="D98" i="1" l="1"/>
  <c r="E98" i="1"/>
  <c r="AC98" i="1"/>
  <c r="N93" i="1" l="1"/>
  <c r="F93" i="1"/>
  <c r="AC86" i="1" l="1"/>
  <c r="AC42" i="1"/>
  <c r="F86" i="1"/>
  <c r="AC85" i="1" l="1"/>
  <c r="F85" i="1"/>
  <c r="AC45" i="1"/>
  <c r="AC83" i="1"/>
  <c r="F83" i="1"/>
  <c r="E83" i="1"/>
  <c r="D83" i="1"/>
  <c r="AC60" i="1"/>
  <c r="AC82" i="1" l="1"/>
  <c r="F82" i="1"/>
  <c r="N80" i="1" l="1"/>
  <c r="AC72" i="1"/>
  <c r="AC65" i="1"/>
  <c r="AC62" i="1"/>
  <c r="AC55" i="1"/>
  <c r="AC53" i="1"/>
  <c r="AC49" i="1"/>
  <c r="AC47" i="1"/>
  <c r="AC43" i="1"/>
  <c r="AC37" i="1"/>
  <c r="AC31" i="1"/>
  <c r="AC30" i="1"/>
  <c r="AC61" i="1"/>
  <c r="AC63" i="1"/>
  <c r="AC68" i="1"/>
  <c r="AC69" i="1"/>
  <c r="AC80" i="1"/>
  <c r="F80" i="1"/>
  <c r="G79" i="1" l="1"/>
  <c r="F78" i="1" l="1"/>
  <c r="AC6" i="1" l="1"/>
  <c r="E21" i="1" l="1"/>
  <c r="AC74" i="1"/>
  <c r="F74" i="1"/>
  <c r="F71" i="1"/>
  <c r="F69" i="1"/>
  <c r="F67" i="1"/>
  <c r="F64" i="1"/>
  <c r="F62" i="1"/>
  <c r="F59" i="1"/>
  <c r="E59" i="1"/>
  <c r="E60" i="1"/>
  <c r="F58" i="1"/>
  <c r="F56" i="1"/>
  <c r="F53" i="1"/>
  <c r="F51" i="1"/>
  <c r="F49" i="1"/>
  <c r="F70" i="1"/>
  <c r="F60" i="1"/>
  <c r="F47" i="1"/>
  <c r="F45" i="1"/>
  <c r="E40" i="1"/>
  <c r="F13" i="1"/>
  <c r="F5" i="1"/>
  <c r="F38" i="1"/>
  <c r="F37" i="1"/>
  <c r="F35" i="1"/>
  <c r="F32" i="1"/>
  <c r="F28" i="1"/>
  <c r="F12" i="1"/>
  <c r="F31" i="1"/>
  <c r="F27" i="1"/>
  <c r="F24" i="1"/>
  <c r="F23" i="1"/>
  <c r="E5" i="1"/>
  <c r="E12" i="1"/>
  <c r="E70" i="1"/>
  <c r="E32" i="1"/>
  <c r="E28" i="1"/>
  <c r="AC73" i="1" l="1"/>
  <c r="M88" i="1"/>
  <c r="M92" i="1"/>
  <c r="M87" i="1"/>
  <c r="M91" i="1"/>
  <c r="M90" i="1"/>
  <c r="M89" i="1"/>
  <c r="N71" i="1" l="1"/>
  <c r="N55" i="1" l="1"/>
  <c r="N48" i="1" l="1"/>
</calcChain>
</file>

<file path=xl/sharedStrings.xml><?xml version="1.0" encoding="utf-8"?>
<sst xmlns="http://schemas.openxmlformats.org/spreadsheetml/2006/main" count="947" uniqueCount="470">
  <si>
    <t>city</t>
  </si>
  <si>
    <t>region</t>
  </si>
  <si>
    <t>fellowships</t>
  </si>
  <si>
    <t>Program</t>
  </si>
  <si>
    <t>dox rank</t>
  </si>
  <si>
    <t>attending availability</t>
  </si>
  <si>
    <t>resident autonomy</t>
  </si>
  <si>
    <t>staff helpfulness</t>
  </si>
  <si>
    <t>how many X procedure</t>
  </si>
  <si>
    <t>how many Y procedure</t>
  </si>
  <si>
    <t>how many Z procedure</t>
  </si>
  <si>
    <t>UCSF</t>
  </si>
  <si>
    <t>Johns Hopkins</t>
  </si>
  <si>
    <t>Barrow</t>
  </si>
  <si>
    <t>Mayo</t>
  </si>
  <si>
    <t>special considerations</t>
  </si>
  <si>
    <t>UW</t>
  </si>
  <si>
    <t>WashU</t>
  </si>
  <si>
    <t>Emory</t>
  </si>
  <si>
    <t>Mass General</t>
  </si>
  <si>
    <t>San Fran</t>
  </si>
  <si>
    <t>state</t>
  </si>
  <si>
    <t>CA</t>
  </si>
  <si>
    <t>Baltimore</t>
  </si>
  <si>
    <t>MD</t>
  </si>
  <si>
    <t>AZ</t>
  </si>
  <si>
    <t>NY</t>
  </si>
  <si>
    <t>MN</t>
  </si>
  <si>
    <t>Seattle</t>
  </si>
  <si>
    <t>WA</t>
  </si>
  <si>
    <t>StL</t>
  </si>
  <si>
    <t>MO</t>
  </si>
  <si>
    <t>Atlanta</t>
  </si>
  <si>
    <t>GA</t>
  </si>
  <si>
    <t>Boston</t>
  </si>
  <si>
    <t>MA</t>
  </si>
  <si>
    <t>Upenn</t>
  </si>
  <si>
    <t>Pittsburgh</t>
  </si>
  <si>
    <t>PA</t>
  </si>
  <si>
    <t>NYU</t>
  </si>
  <si>
    <t>Uvirginia</t>
  </si>
  <si>
    <t>Charlottesville</t>
  </si>
  <si>
    <t>VA</t>
  </si>
  <si>
    <t>Umichigan</t>
  </si>
  <si>
    <t>Ann Arbor</t>
  </si>
  <si>
    <t>MI</t>
  </si>
  <si>
    <t>USC</t>
  </si>
  <si>
    <t>LA</t>
  </si>
  <si>
    <t>Brigham &amp; Women's</t>
  </si>
  <si>
    <t>U Texas SW-ern</t>
  </si>
  <si>
    <t>TX</t>
  </si>
  <si>
    <t>U Utah</t>
  </si>
  <si>
    <t>Salt Lake C</t>
  </si>
  <si>
    <t>UT</t>
  </si>
  <si>
    <t>UCLA</t>
  </si>
  <si>
    <t>U Florida</t>
  </si>
  <si>
    <t>Gainesville</t>
  </si>
  <si>
    <t>FL</t>
  </si>
  <si>
    <t>Stanford</t>
  </si>
  <si>
    <t>Cleveland Clinic</t>
  </si>
  <si>
    <t>Cleveland</t>
  </si>
  <si>
    <t>OH</t>
  </si>
  <si>
    <t>Philidelphia</t>
  </si>
  <si>
    <t>Duke</t>
  </si>
  <si>
    <t>Durham</t>
  </si>
  <si>
    <t>NC</t>
  </si>
  <si>
    <t>Miami</t>
  </si>
  <si>
    <t>Indiana U</t>
  </si>
  <si>
    <t>Indianapolis</t>
  </si>
  <si>
    <t>IN</t>
  </si>
  <si>
    <t>VanderbiltU</t>
  </si>
  <si>
    <t>Nashville</t>
  </si>
  <si>
    <t>TN</t>
  </si>
  <si>
    <t>Mayo Jacksonville</t>
  </si>
  <si>
    <t>Jacksonville</t>
  </si>
  <si>
    <t>Utennessee</t>
  </si>
  <si>
    <t>Memphis</t>
  </si>
  <si>
    <t>NW-ern</t>
  </si>
  <si>
    <t>Chicago</t>
  </si>
  <si>
    <t>IL</t>
  </si>
  <si>
    <t>Icahn</t>
  </si>
  <si>
    <t>Ualabama</t>
  </si>
  <si>
    <t>Birmingham</t>
  </si>
  <si>
    <t>AL</t>
  </si>
  <si>
    <t>Baylor</t>
  </si>
  <si>
    <t>Houston</t>
  </si>
  <si>
    <t>Thomas Jefferson</t>
  </si>
  <si>
    <t>Uiowa</t>
  </si>
  <si>
    <t>Iowa City</t>
  </si>
  <si>
    <t>IA</t>
  </si>
  <si>
    <t>Rush</t>
  </si>
  <si>
    <t>Case Western</t>
  </si>
  <si>
    <t>Uminnesota</t>
  </si>
  <si>
    <t>Minneapolis</t>
  </si>
  <si>
    <t>OHSU</t>
  </si>
  <si>
    <t>Portland</t>
  </si>
  <si>
    <t>OR</t>
  </si>
  <si>
    <t>In city?</t>
  </si>
  <si>
    <t>U South FL</t>
  </si>
  <si>
    <t>Tampa</t>
  </si>
  <si>
    <t>Cedars-Sinai</t>
  </si>
  <si>
    <t>UNC</t>
  </si>
  <si>
    <t>Chapel Hill</t>
  </si>
  <si>
    <t>Medical U S Carolina</t>
  </si>
  <si>
    <t>Charleston</t>
  </si>
  <si>
    <t>SC</t>
  </si>
  <si>
    <t>Hershey</t>
  </si>
  <si>
    <t>Madison</t>
  </si>
  <si>
    <t>WI</t>
  </si>
  <si>
    <t>U cincinnati</t>
  </si>
  <si>
    <t>Cincinnati</t>
  </si>
  <si>
    <t>Methodist</t>
  </si>
  <si>
    <t>George Washington U</t>
  </si>
  <si>
    <t>Washington</t>
  </si>
  <si>
    <t>DC</t>
  </si>
  <si>
    <t>U Kansas</t>
  </si>
  <si>
    <t>Kansas City</t>
  </si>
  <si>
    <t>KS</t>
  </si>
  <si>
    <t>Wake Forest</t>
  </si>
  <si>
    <t>Winston-Salem</t>
  </si>
  <si>
    <t>U Buffalo</t>
  </si>
  <si>
    <t>Buffalo</t>
  </si>
  <si>
    <t>Allegheny</t>
  </si>
  <si>
    <t>U Colorado</t>
  </si>
  <si>
    <t>CO</t>
  </si>
  <si>
    <t>U Chicago</t>
  </si>
  <si>
    <t>Rutgers</t>
  </si>
  <si>
    <t>Newark</t>
  </si>
  <si>
    <t>NJ</t>
  </si>
  <si>
    <t>Tufts</t>
  </si>
  <si>
    <t>Yale</t>
  </si>
  <si>
    <t>New Haven</t>
  </si>
  <si>
    <t>CT</t>
  </si>
  <si>
    <t>U Rochester</t>
  </si>
  <si>
    <t>Rochester</t>
  </si>
  <si>
    <t>Tulane</t>
  </si>
  <si>
    <t>New Orleans</t>
  </si>
  <si>
    <t>U Maryland</t>
  </si>
  <si>
    <t>UCSD</t>
  </si>
  <si>
    <t>San Diego</t>
  </si>
  <si>
    <t>West Virginia U</t>
  </si>
  <si>
    <t>Morgantown</t>
  </si>
  <si>
    <t>WV</t>
  </si>
  <si>
    <t>U Illinois at Peoria</t>
  </si>
  <si>
    <t>Peoria</t>
  </si>
  <si>
    <t>U Illinois at Chicago</t>
  </si>
  <si>
    <t>Bronx</t>
  </si>
  <si>
    <t>San Antonio</t>
  </si>
  <si>
    <t>U VT</t>
  </si>
  <si>
    <t>Burlington</t>
  </si>
  <si>
    <t>VT</t>
  </si>
  <si>
    <t>Carolinas MC</t>
  </si>
  <si>
    <t>Charlotte</t>
  </si>
  <si>
    <t>Virginia Commonwealth U</t>
  </si>
  <si>
    <t>Richmond</t>
  </si>
  <si>
    <t>U Kentucky</t>
  </si>
  <si>
    <t>Lexington</t>
  </si>
  <si>
    <t>KY</t>
  </si>
  <si>
    <t>Detroit</t>
  </si>
  <si>
    <t>MCW</t>
  </si>
  <si>
    <t>Milwaukee</t>
  </si>
  <si>
    <t>SUNY Upstate</t>
  </si>
  <si>
    <t>Syracuse</t>
  </si>
  <si>
    <t>MCGeorgia</t>
  </si>
  <si>
    <t>Augusta</t>
  </si>
  <si>
    <t>U New Mexico</t>
  </si>
  <si>
    <t>Albuquerque</t>
  </si>
  <si>
    <t>NM</t>
  </si>
  <si>
    <t>U Nebraska</t>
  </si>
  <si>
    <t>Omaha</t>
  </si>
  <si>
    <t>NE</t>
  </si>
  <si>
    <t>Georgetown U</t>
  </si>
  <si>
    <t>UC Irvine</t>
  </si>
  <si>
    <t>Orange</t>
  </si>
  <si>
    <t>U Missouri-Columbia</t>
  </si>
  <si>
    <t>Columbia</t>
  </si>
  <si>
    <t>Temple University</t>
  </si>
  <si>
    <t>Philadelphia</t>
  </si>
  <si>
    <t>Albany</t>
  </si>
  <si>
    <t>Albany MC</t>
  </si>
  <si>
    <t>Loyola U</t>
  </si>
  <si>
    <t>U Arkansas</t>
  </si>
  <si>
    <t>Little Rock</t>
  </si>
  <si>
    <t>AR</t>
  </si>
  <si>
    <t>U Mississippi</t>
  </si>
  <si>
    <t>Jackson</t>
  </si>
  <si>
    <t>MS</t>
  </si>
  <si>
    <t>UC Davis</t>
  </si>
  <si>
    <t>Sacramento</t>
  </si>
  <si>
    <t>Lebanon</t>
  </si>
  <si>
    <t>NH</t>
  </si>
  <si>
    <t>Geisinger Health System</t>
  </si>
  <si>
    <t>Danville</t>
  </si>
  <si>
    <t>Southern Illinois U</t>
  </si>
  <si>
    <t>Springfield</t>
  </si>
  <si>
    <t>Roanoke</t>
  </si>
  <si>
    <t>Brown U</t>
  </si>
  <si>
    <t>Providence</t>
  </si>
  <si>
    <t>RI</t>
  </si>
  <si>
    <t>Louisiana State U at Shreveport</t>
  </si>
  <si>
    <t>Shreveport</t>
  </si>
  <si>
    <t>U Oklahoma</t>
  </si>
  <si>
    <t>Oklahoma City</t>
  </si>
  <si>
    <t>OK</t>
  </si>
  <si>
    <t>Galveston</t>
  </si>
  <si>
    <t>National Capital Consortium</t>
  </si>
  <si>
    <t>Bethesda</t>
  </si>
  <si>
    <t>Texas A&amp;M</t>
  </si>
  <si>
    <t>Temple</t>
  </si>
  <si>
    <t>Riverside U</t>
  </si>
  <si>
    <t>Moreno Valley</t>
  </si>
  <si>
    <t>Louisville</t>
  </si>
  <si>
    <t>Detroit MC/Wayne State U</t>
  </si>
  <si>
    <t>Beth Israel Deaconess</t>
  </si>
  <si>
    <t>Desert Regional MC</t>
  </si>
  <si>
    <t>Palm Springs</t>
  </si>
  <si>
    <t>Falls Church</t>
  </si>
  <si>
    <t>Philadelphia College of Osteopathic Medicine</t>
  </si>
  <si>
    <t>Southfield</t>
  </si>
  <si>
    <t>St Barnabas Medical Center</t>
  </si>
  <si>
    <t>Livingston</t>
  </si>
  <si>
    <t>St Louis U</t>
  </si>
  <si>
    <t>Phoenix</t>
  </si>
  <si>
    <t>U AZ</t>
  </si>
  <si>
    <t>Loma Linda U</t>
  </si>
  <si>
    <t>Loma Linda</t>
  </si>
  <si>
    <t>Advocate BroMenn</t>
  </si>
  <si>
    <t>Cook County</t>
  </si>
  <si>
    <t>U Louisville</t>
  </si>
  <si>
    <t>Louisiana State U at NO</t>
  </si>
  <si>
    <t>NIH</t>
  </si>
  <si>
    <t>Providence-Park Hospitals</t>
  </si>
  <si>
    <t>Spectrum/Michigan State</t>
  </si>
  <si>
    <t>Grand Rapids</t>
  </si>
  <si>
    <t>Henry Ford H (Wayne State)</t>
  </si>
  <si>
    <t>Dartmouth/Hitchcock</t>
  </si>
  <si>
    <t>Long Island Jewish</t>
  </si>
  <si>
    <t>Albert Einstein / Montefiore</t>
  </si>
  <si>
    <t>Grant Medical Center</t>
  </si>
  <si>
    <t>Columbus</t>
  </si>
  <si>
    <t>Ohio State U</t>
  </si>
  <si>
    <t>Penn State</t>
  </si>
  <si>
    <t>U Pittsburgh</t>
  </si>
  <si>
    <t>U Texas Galveston</t>
  </si>
  <si>
    <t>U Texas San Antonio</t>
  </si>
  <si>
    <t>U Texas Houston</t>
  </si>
  <si>
    <t>Virginia Tech/Carilion</t>
  </si>
  <si>
    <t>Inova</t>
  </si>
  <si>
    <t>U WI Madison</t>
  </si>
  <si>
    <t>req research months</t>
  </si>
  <si>
    <t>Y</t>
  </si>
  <si>
    <t>neuro-onc, neurotrauma, spine, movement disorders, CVD</t>
  </si>
  <si>
    <t>CoL+Rent index</t>
  </si>
  <si>
    <t>max mo for fellowship</t>
  </si>
  <si>
    <t>N</t>
  </si>
  <si>
    <t>SW</t>
  </si>
  <si>
    <t>NoCal</t>
  </si>
  <si>
    <t>Manhattan</t>
  </si>
  <si>
    <t>2 yr endovasc/intervent neuroradiol</t>
  </si>
  <si>
    <t>avg pay</t>
  </si>
  <si>
    <t>Midwest</t>
  </si>
  <si>
    <t>peds, spine</t>
  </si>
  <si>
    <t>SE</t>
  </si>
  <si>
    <t>PSLF-eligible?</t>
  </si>
  <si>
    <t>personal score</t>
  </si>
  <si>
    <t>residential</t>
  </si>
  <si>
    <t>peds, spine, endovasc, skull base, etc</t>
  </si>
  <si>
    <t>4-6 mo in Ireland</t>
  </si>
  <si>
    <t>spine</t>
  </si>
  <si>
    <t>spine, endovasc, neurocrit care</t>
  </si>
  <si>
    <t>SoCal</t>
  </si>
  <si>
    <t>special consideration adjustment</t>
  </si>
  <si>
    <t>neuro-onc, pituitary/neuroendocrine, skull base, spine, endovasc</t>
  </si>
  <si>
    <t>Dallas</t>
  </si>
  <si>
    <t>spine, endovasc, neuro-onc, peds, skull base</t>
  </si>
  <si>
    <t>endovasc, functional</t>
  </si>
  <si>
    <t>Req boards passing percentile</t>
  </si>
  <si>
    <t>spine and others</t>
  </si>
  <si>
    <t>spine is 2 yr fellowship</t>
  </si>
  <si>
    <t>ortho spine, peripheral nerve, skull base</t>
  </si>
  <si>
    <t>can't do spine as resident?</t>
  </si>
  <si>
    <t>neuro-onc, cerebrovasc, stereotactic/functional, neuro/ortho spine, ortho spine, peds, neurocrit care</t>
  </si>
  <si>
    <t>neuro/ortho spine not for residents?</t>
  </si>
  <si>
    <t>spine ?</t>
  </si>
  <si>
    <t>ortho/neuro spine ?</t>
  </si>
  <si>
    <t>neuro/ortho spine, functional, neurocrit care, brain tumor, neuroradiology</t>
  </si>
  <si>
    <t>lots of military residents for some reason, no ortho or neuro spine fellowship</t>
  </si>
  <si>
    <t>neuro/ortho spine, ortho spine, etc</t>
  </si>
  <si>
    <t>skull base, epilepsy, onc, radiosurg, stereotactic, neuro/ortho spine</t>
  </si>
  <si>
    <t>spine not for residents?</t>
  </si>
  <si>
    <t>6 mo (optional?) New Zealand fellowship, no normal spine enfolded</t>
  </si>
  <si>
    <t>spine, etc</t>
  </si>
  <si>
    <t>Univeristy of Miami (Jackson Memorial)</t>
  </si>
  <si>
    <t>spine, neuro-onc, endovasc, neurotrauma, functional</t>
  </si>
  <si>
    <t>didactic h/week</t>
  </si>
  <si>
    <t>spine, endovasc, onc, skull base, neurocrit, peds</t>
  </si>
  <si>
    <t>not sure if infolded spine available, but probably</t>
  </si>
  <si>
    <t>Weill Cornell</t>
  </si>
  <si>
    <t>complex spine, interventional neuroradiology</t>
  </si>
  <si>
    <t>no ortho spine for residents?</t>
  </si>
  <si>
    <t>probably includes spine</t>
  </si>
  <si>
    <t>vasc, peds, spine</t>
  </si>
  <si>
    <t>Have to publish each year to advance, 6 mo England rotation</t>
  </si>
  <si>
    <t>spine, peds, international peds, etc</t>
  </si>
  <si>
    <t>one resident per year</t>
  </si>
  <si>
    <t>peds, vasc, functional</t>
  </si>
  <si>
    <t>n/a</t>
  </si>
  <si>
    <t>seems slow to get you in the OR</t>
  </si>
  <si>
    <t>bad vibe from website</t>
  </si>
  <si>
    <t>endovasc, peripheral, spine</t>
  </si>
  <si>
    <t>supportive, fun vibe from website</t>
  </si>
  <si>
    <t>sounds like strict supervision; progression system to next year sounds strict; must have 2 pubs by end of residency</t>
  </si>
  <si>
    <t>looks like great progression of responsibilities</t>
  </si>
  <si>
    <t>seem to prefer you spend elective time in research; don't specifically say you can fellowship, just "focus"</t>
  </si>
  <si>
    <t>neuro-onc, spine, skull base radiosurg, functional, minimally invasive cranial</t>
  </si>
  <si>
    <t>spine, onc, neurovasc</t>
  </si>
  <si>
    <t>probably n/a</t>
  </si>
  <si>
    <t>teaching of younger residents and medical students is involved</t>
  </si>
  <si>
    <t>endovasc, functional, neurocrit, onc, peripheral, spine</t>
  </si>
  <si>
    <t>fellowships are ONLY offered as enfolded fellowships to residents (no external applicants); option to do a year in Perth, Australia; seems to really be about the career YOU want; must publish each year PGY2-7-2 mo each year set aside for electives</t>
  </si>
  <si>
    <t>mini-fellowsips include spine, skull base, endovasc, etc</t>
  </si>
  <si>
    <t>looks a bit slow to gain responsibilities; need to generate a pub 5th year; unclear if both 5tha nd 7th year can be used for fellowship, how long fellowships are, etc.</t>
  </si>
  <si>
    <t>seemingly-required 6 mo London rotation</t>
  </si>
  <si>
    <t>might include spine, if you can actually fellowship</t>
  </si>
  <si>
    <t>extremely vague website; little information; looks like research is heavy, not sure if can fellowship, one place mentioned 7 years following fellowship, but don't think it's actually 8 years</t>
  </si>
  <si>
    <t>seems a bit slow to gain responsibilities</t>
  </si>
  <si>
    <t>spine, trauma, functional</t>
  </si>
  <si>
    <t>seems a bit slow to gain responsibilities; must submit 1 pub each year</t>
  </si>
  <si>
    <t>epilepsy, pain and movement disorders, cranial nerve, complex spine, functional/stereotactic, onc, endoscopy, skull base</t>
  </si>
  <si>
    <t>seems a bit slow to gain responsibilities; minor pub/abstract requirements; not sure if elective clinical year actually gives you a fellowship</t>
  </si>
  <si>
    <t>seems a bit slow to gain responsibilities; seems like lots of complex spine in training (does this mean less in other things?)</t>
  </si>
  <si>
    <t>Denver</t>
  </si>
  <si>
    <t>Rockies</t>
  </si>
  <si>
    <t>Hofstra / Northwell</t>
  </si>
  <si>
    <t>Queens</t>
  </si>
  <si>
    <t>vasc, onc, trauma, functional</t>
  </si>
  <si>
    <t>1 yr rotation in a hospital 40 min away; must have 1 pub/yr except PGY-1,7</t>
  </si>
  <si>
    <t>application requirements</t>
  </si>
  <si>
    <t>none listed</t>
  </si>
  <si>
    <t>up to 4 LOR; undergrad transcripts</t>
  </si>
  <si>
    <t>4 LOR</t>
  </si>
  <si>
    <t>4 surgeon LOR</t>
  </si>
  <si>
    <t>at least 3 LOR, one from ROC dept chair; extracurricular activities</t>
  </si>
  <si>
    <t>3 LOR, at least 1 from neurosurg</t>
  </si>
  <si>
    <t>3-4 letters</t>
  </si>
  <si>
    <t>research, USMLE&gt;=230, letters indicating neurosurg experience</t>
  </si>
  <si>
    <t>USMLE&gt;=230, 3 letters, preferrably from academic neurosurgeons, research preferred</t>
  </si>
  <si>
    <t>multiple, can do ortho spine for sure, probably also complex</t>
  </si>
  <si>
    <t>up to 4 LOR</t>
  </si>
  <si>
    <t>3 LOR</t>
  </si>
  <si>
    <t>USMLE&gt;=230, 3 LOR w/ at least one being from program director</t>
  </si>
  <si>
    <t>3 letters, AOA letter (if applicable; is this osteopathic, or alpha omega alpha)</t>
  </si>
  <si>
    <t>interview dates 2021-2022</t>
  </si>
  <si>
    <t>3 LOR, first attempt step scores</t>
  </si>
  <si>
    <t>USMLE&gt;=230, at least 3 LOR w/ at least 2 being from neurosurgeons</t>
  </si>
  <si>
    <t>interest in academic medicine, USMLE&gt;=220</t>
  </si>
  <si>
    <t>USMLE (1 &amp; 2)&gt;=230</t>
  </si>
  <si>
    <t>3 current LOR, preferrably from academic neurosurgeons, USMLE (1 &amp; 2)&gt;=220 and &lt;=2 attempts</t>
  </si>
  <si>
    <t>at least 3 LOR</t>
  </si>
  <si>
    <t>3-4 LOR w/ at least 1 from neurosurgeon</t>
  </si>
  <si>
    <t>&gt;=3 LOR w/ at least 2 from neurosurgeons - program director suggested as 1</t>
  </si>
  <si>
    <t>there is required research - unclear how much, but doesn't look horrible; 12 mo rotation in burlington, MA</t>
  </si>
  <si>
    <t>unsure; probably includes spine</t>
  </si>
  <si>
    <t>endovasc, epilepsy, spine, gamma knife</t>
  </si>
  <si>
    <t>unsure, might include spine if appliccable</t>
  </si>
  <si>
    <t>3 LOR by neurosurg attendings</t>
  </si>
  <si>
    <t>no clue if possible or not</t>
  </si>
  <si>
    <t>no curriculum information on website</t>
  </si>
  <si>
    <t>external rotations; one is a half-hour away</t>
  </si>
  <si>
    <t>many, including spine</t>
  </si>
  <si>
    <t>2 mo neuropath rotation in texas</t>
  </si>
  <si>
    <t>reputation for malignancy</t>
  </si>
  <si>
    <t>malignancy adjustment</t>
  </si>
  <si>
    <t>one place says enfolded fellowship possible, but no other info about it and it says researh is necessary</t>
  </si>
  <si>
    <t>benign (mmcdowe)</t>
  </si>
  <si>
    <t>not malignant (mmcdowe)</t>
  </si>
  <si>
    <t>peds, skull base, neurointerventional ONLY</t>
  </si>
  <si>
    <t>6 publications required; seems like very slow to gain responsibilites; you may go under review (as to advancement) if &lt;50th percentile on boards</t>
  </si>
  <si>
    <t>no real clue as to req research and elective mo b/c website sucks</t>
  </si>
  <si>
    <t>no idea how year 4/5 beark down research vs elective or fellowship; perhaps a bit slow to gain responsibilities; must publish 1 a year; must perform "above passing" ABNS exam in later years</t>
  </si>
  <si>
    <t>interventional neuroradio, spine, peds</t>
  </si>
  <si>
    <t>ortho involvement is encouraged in spine</t>
  </si>
  <si>
    <t>looks like good progression of responsibilites</t>
  </si>
  <si>
    <t>research really preferred in elective year; 6 mo in Utah; spine is co-taught w/ ortho; slow to gain responsibilities</t>
  </si>
  <si>
    <t>6 mo rotation in charlotte (housing provided) @ private practice place; chapel hill looks like a quaint town</t>
  </si>
  <si>
    <t>3 LOR from "direct supervisors"</t>
  </si>
  <si>
    <t>unsure if includes spine</t>
  </si>
  <si>
    <t>good spine focus; not sure if you can actually fellowship; private practice; new program</t>
  </si>
  <si>
    <t>3 LOR, one from chair or designee of UR Neurosurg</t>
  </si>
  <si>
    <t>pop density</t>
  </si>
  <si>
    <t>city pop</t>
  </si>
  <si>
    <t>Palo Alto</t>
  </si>
  <si>
    <t>urban pop</t>
  </si>
  <si>
    <t>residents/yr</t>
  </si>
  <si>
    <t>truly have no clue as to research and fellowship (except that fellowship is possible) b/c link to curriculum pdf is broken; 1 mo on eastern VA shore; mission trip(s)</t>
  </si>
  <si>
    <t>none at UK</t>
  </si>
  <si>
    <t>must go elsewhere for infolded, but at least they don't force you into their infoldeds at UK</t>
  </si>
  <si>
    <t>3 LOR (1 from neurosurg); pass Step 2 by match day</t>
  </si>
  <si>
    <t>may be a bit slow to gain responsibilities, but doesn't seem too bad</t>
  </si>
  <si>
    <t>looks like a LOT of call</t>
  </si>
  <si>
    <t>only ortho spine?</t>
  </si>
  <si>
    <t>LOTS of rounds (seems annoying)</t>
  </si>
  <si>
    <t>slow to gain responsibilites</t>
  </si>
  <si>
    <t>critical care ONLY</t>
  </si>
  <si>
    <t>14 pubs req by graduation; other than crit care fellowship, can "concentrate" on other things like spine</t>
  </si>
  <si>
    <t>88 hour work week (PGY 2-5) but nurses/NPs do much of the mundane stuff</t>
  </si>
  <si>
    <t>3 LOR from faculty you've worked with in past 5 years</t>
  </si>
  <si>
    <t>at least 2 LOR from neurosurgeons; typically USMLE1/2 avg&gt;245 (not required); typically top quartile of med school class (not required)</t>
  </si>
  <si>
    <t>other hospitals 1/2 hour away from main one; dedicated peripheral nerve surgery</t>
  </si>
  <si>
    <t>skull base, epilepsy &amp; functional, complex spine, endovasc, neurocrit care</t>
  </si>
  <si>
    <t>2 months an hour away; 2 months 1.5 hours away; 6 pubs</t>
  </si>
  <si>
    <t>1 year 2.75 hours away</t>
  </si>
  <si>
    <t>3 LOR; competitive = above avg in med school, above 80th percentile USMLE</t>
  </si>
  <si>
    <t>some research involvement expected</t>
  </si>
  <si>
    <t>seem to prefer PGY4 is research, not clinical; are trying to add spine as fellowship - check back on this</t>
  </si>
  <si>
    <t>endovasc, functional , looking to add complex sp</t>
  </si>
  <si>
    <t>USMLE&gt;215 preferred; Step II must be completed by application time; 3 LOR</t>
  </si>
  <si>
    <t>not sure if research can be used for elective, or how long it is; not a lot of info on website</t>
  </si>
  <si>
    <t>must complete STEP II before application is complete</t>
  </si>
  <si>
    <t>endovasc, ortho spine, peds, skull base, vasc, onc, functional</t>
  </si>
  <si>
    <t>seem pretty strict on some of the rules</t>
  </si>
  <si>
    <t>Touro / NYMC at Westchester</t>
  </si>
  <si>
    <t>When does the day start?</t>
  </si>
  <si>
    <t>looks like good progression of duties</t>
  </si>
  <si>
    <t>endovasc, complex spine, neurocrit care, peds</t>
  </si>
  <si>
    <t>Mount Pleasant</t>
  </si>
  <si>
    <t>none listed?</t>
  </si>
  <si>
    <t>at least 3 LOR, one from ROC dept chair &amp; other 2 from attending ngs; pubs and extracurricular research are also basis of decision</t>
  </si>
  <si>
    <t>3 LOR, pref from surgeons; USMLE I scores</t>
  </si>
  <si>
    <t>part of training in center 1 h away, not sure how much; may be slow to gain responsibilities, hard to tell with language used, though</t>
  </si>
  <si>
    <t>PGY2-7 must be on a project; slow to gain responsibilities; 4 years old as of 2018</t>
  </si>
  <si>
    <t>seems to include spine</t>
  </si>
  <si>
    <t>lots of didactics; includes "extensive textbook and journal reading assignments"; expects "aggressive participation" in research; not sure if it's really 12 or 16 months as min for research; 4 months 2 h away; only opened to MD students 2 years ago and no MD residents yet; infolded fellowship concept new; not 100% you actually take the boards</t>
  </si>
  <si>
    <t>not sure</t>
  </si>
  <si>
    <t>2 pubs per year required after intern year; 1 prospective trial; very slow to gain responsibilities</t>
  </si>
  <si>
    <t>1 year 1 h away</t>
  </si>
  <si>
    <t>I think only for unuformed services</t>
  </si>
  <si>
    <t>military</t>
  </si>
  <si>
    <t>Tucson</t>
  </si>
  <si>
    <t>step 1 &amp; 2 scores, 3 LOR at least 1 from neurosurg program director</t>
  </si>
  <si>
    <t>first 2 steps of COMLEX</t>
  </si>
  <si>
    <t>1/2 of training is 3 hours away</t>
  </si>
  <si>
    <t>not yet ACGME approved but applying for 2020; probably can't use electives toward fellowship</t>
  </si>
  <si>
    <t>2 LOR, copy of diploma</t>
  </si>
  <si>
    <t>benign (NR, M)</t>
  </si>
  <si>
    <t>malignant (NI-D)</t>
  </si>
  <si>
    <t>malignant (R, NI-D)</t>
  </si>
  <si>
    <t>endovasc, spine</t>
  </si>
  <si>
    <t>some of the hospitals 30-40 min away from others; looks like good progression of duties; infolded fellowship actually encouraged</t>
  </si>
  <si>
    <t>at least 3 LOR, step 1 scores</t>
  </si>
  <si>
    <t>don't think it's ACGME-approved; all surgical procedures recorded by headlight and used for teaching; 2 major training sites are 40 min away from each other</t>
  </si>
  <si>
    <t>3 LOR, 2 page essay on why you want to be a neurosurgeon</t>
  </si>
  <si>
    <t>not yet ACGME approved but trying; hospitals .5-2 h away</t>
  </si>
  <si>
    <t>looks very supportive of family life; a little slow to gain responsibilities</t>
  </si>
  <si>
    <t>Normal</t>
  </si>
  <si>
    <t>Not ACGME-accredited; no mention of using electives toward fellowships; 21 interrupted mo 2 h away; 6 mo 13 h away</t>
  </si>
  <si>
    <t>I think you must rotate with Cook County Neurosurg to be eligible</t>
  </si>
  <si>
    <t>Not ACGME-accredited; I think you must rotate with Cook County Neurosurg to be eligible; 18 interrupted months 35 min away</t>
  </si>
  <si>
    <t>2 rotations 1 h away from the others</t>
  </si>
  <si>
    <t>functional, ceerebrovasc, neuro-onc, trauma/critical care</t>
  </si>
  <si>
    <t>3 LOR, must have passed step 1 on first try</t>
  </si>
  <si>
    <t>Not ACGME accredited; a lot of non-neurosurg throughout first few years</t>
  </si>
  <si>
    <t>other degrees possible?</t>
  </si>
  <si>
    <t>can use elective time for non-science masters; must do 1 pub per year on years 2-6</t>
  </si>
  <si>
    <t>looks like you can do non-science masters; seems a little slow to gain responsibilities</t>
  </si>
  <si>
    <t>non-science masters supported; elective time seems tailored to student, but still prefers academics/may require some research; responsibilities gained quickly; might have a lot of call</t>
  </si>
  <si>
    <t>PGY6 is in New Zealand (travel is reimbursed); research highly encouraged during elective years (probably not any non-science masters)</t>
  </si>
  <si>
    <t>one prject per year with goal of producing pubs; masters is possible, not sure if non-science masters is</t>
  </si>
  <si>
    <t>not sure how elective research year is, not sure if clinicals or fellowship would be possible, or non-science masters</t>
  </si>
  <si>
    <t>rotations 25 &amp; 40 min away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</si>
</sst>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F1B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2" borderId="0" xfId="0" applyFill="1"/>
    <xf numFmtId="0" fontId="1" fillId="3" borderId="0" xfId="0" applyFont="1" applyFill="1"/>
    <xf numFmtId="164" fontId="1" fillId="3" borderId="0" xfId="0" applyNumberFormat="1" applyFont="1" applyFill="1"/>
    <xf numFmtId="164" fontId="0" fillId="0" borderId="0" xfId="0" applyNumberFormat="1"/>
    <xf numFmtId="164" fontId="0" fillId="2" borderId="0" xfId="0" applyNumberFormat="1" applyFill="1"/>
    <xf numFmtId="0" fontId="0" fillId="4" borderId="0" xfId="0" applyFill="1"/>
    <xf numFmtId="0" fontId="0" fillId="0" borderId="0" xfId="0" applyFill="1"/>
    <xf numFmtId="1" fontId="0" fillId="2" borderId="0" xfId="0" applyNumberFormat="1" applyFill="1"/>
    <xf numFmtId="2" fontId="0" fillId="0" borderId="0" xfId="0" applyNumberFormat="1"/>
    <xf numFmtId="2" fontId="1" fillId="3" borderId="0" xfId="0" applyNumberFormat="1" applyFont="1" applyFill="1"/>
    <xf numFmtId="2" fontId="0" fillId="2" borderId="0" xfId="0" applyNumberFormat="1" applyFill="1"/>
    <xf numFmtId="1" fontId="1" fillId="5" borderId="0" xfId="0" applyNumberFormat="1" applyFont="1" applyFill="1"/>
    <xf numFmtId="1" fontId="1" fillId="3" borderId="0" xfId="0" applyNumberFormat="1" applyFont="1" applyFill="1"/>
    <xf numFmtId="1" fontId="0" fillId="0" borderId="0" xfId="0" applyNumberFormat="1" applyFill="1"/>
    <xf numFmtId="1" fontId="2" fillId="0" borderId="0" xfId="0" applyNumberFormat="1" applyFont="1" applyFill="1"/>
    <xf numFmtId="0" fontId="1" fillId="0" borderId="0" xfId="0" applyFont="1" applyFill="1"/>
    <xf numFmtId="0" fontId="2" fillId="0" borderId="0" xfId="0" applyFont="1" applyFill="1"/>
    <xf numFmtId="1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FF1BE"/>
      <color rgb="FF23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9"/>
  <sheetViews>
    <sheetView tabSelected="1" workbookViewId="0">
      <pane ySplit="1" topLeftCell="A2" activePane="bottomLeft" state="frozen"/>
      <selection activeCell="C1" sqref="C1"/>
      <selection pane="bottomLeft" activeCell="B4" sqref="B4"/>
    </sheetView>
  </sheetViews>
  <sheetFormatPr defaultRowHeight="14.4" x14ac:dyDescent="0.55000000000000004"/>
  <cols>
    <col min="1" max="1" width="17.20703125" bestFit="1" customWidth="1"/>
    <col min="4" max="6" width="9.7890625" style="2" customWidth="1"/>
    <col min="7" max="7" width="9.7890625" style="11" customWidth="1"/>
    <col min="8" max="8" width="8.83984375" bestFit="1" customWidth="1"/>
    <col min="9" max="9" width="5.68359375" customWidth="1"/>
    <col min="10" max="10" width="9.3671875" customWidth="1"/>
    <col min="11" max="12" width="15.3671875" customWidth="1"/>
    <col min="13" max="13" width="8.83984375" customWidth="1"/>
    <col min="14" max="14" width="6.5234375" style="6" customWidth="1"/>
    <col min="15" max="15" width="12.47265625" style="16" customWidth="1"/>
    <col min="16" max="16" width="6.89453125" customWidth="1"/>
    <col min="17" max="18" width="6.89453125" style="16" customWidth="1"/>
    <col min="19" max="19" width="11.734375" customWidth="1"/>
    <col min="20" max="20" width="12.62890625" customWidth="1"/>
    <col min="21" max="21" width="17.05078125" customWidth="1"/>
    <col min="22" max="23" width="15.68359375" customWidth="1"/>
    <col min="24" max="24" width="13.41796875" customWidth="1"/>
    <col min="25" max="27" width="8.83984375" customWidth="1"/>
    <col min="28" max="28" width="36.26171875" customWidth="1"/>
    <col min="29" max="31" width="27.68359375" customWidth="1"/>
    <col min="32" max="32" width="28" customWidth="1"/>
  </cols>
  <sheetData>
    <row r="1" spans="1:33" s="1" customFormat="1" x14ac:dyDescent="0.55000000000000004">
      <c r="A1" s="1" t="s">
        <v>3</v>
      </c>
      <c r="B1" s="1" t="s">
        <v>0</v>
      </c>
      <c r="C1" s="1" t="s">
        <v>21</v>
      </c>
      <c r="D1" s="15" t="s">
        <v>389</v>
      </c>
      <c r="E1" s="15" t="s">
        <v>390</v>
      </c>
      <c r="F1" s="15" t="s">
        <v>392</v>
      </c>
      <c r="G1" s="12" t="s">
        <v>252</v>
      </c>
      <c r="H1" s="4" t="s">
        <v>97</v>
      </c>
      <c r="I1" s="4" t="s">
        <v>1</v>
      </c>
      <c r="J1" s="4" t="s">
        <v>2</v>
      </c>
      <c r="K1" s="4" t="s">
        <v>249</v>
      </c>
      <c r="L1" s="4" t="s">
        <v>253</v>
      </c>
      <c r="M1" s="4" t="s">
        <v>4</v>
      </c>
      <c r="N1" s="5" t="s">
        <v>393</v>
      </c>
      <c r="O1" s="14" t="s">
        <v>264</v>
      </c>
      <c r="P1" s="4" t="s">
        <v>259</v>
      </c>
      <c r="Q1" s="15" t="s">
        <v>276</v>
      </c>
      <c r="R1" s="20" t="s">
        <v>422</v>
      </c>
      <c r="S1" s="1" t="s">
        <v>263</v>
      </c>
      <c r="T1" s="1" t="s">
        <v>462</v>
      </c>
      <c r="U1" s="1" t="s">
        <v>5</v>
      </c>
      <c r="V1" s="1" t="s">
        <v>6</v>
      </c>
      <c r="W1" s="1" t="s">
        <v>294</v>
      </c>
      <c r="X1" s="1" t="s">
        <v>7</v>
      </c>
      <c r="Y1" s="1" t="s">
        <v>8</v>
      </c>
      <c r="Z1" s="1" t="s">
        <v>9</v>
      </c>
      <c r="AA1" s="1" t="s">
        <v>10</v>
      </c>
      <c r="AB1" s="1" t="s">
        <v>15</v>
      </c>
      <c r="AC1" s="4" t="s">
        <v>271</v>
      </c>
      <c r="AD1" s="18" t="s">
        <v>371</v>
      </c>
      <c r="AE1" s="4" t="s">
        <v>372</v>
      </c>
      <c r="AF1" s="1" t="s">
        <v>337</v>
      </c>
      <c r="AG1" s="1" t="s">
        <v>352</v>
      </c>
    </row>
    <row r="2" spans="1:33" x14ac:dyDescent="0.55000000000000004">
      <c r="A2" t="s">
        <v>11</v>
      </c>
      <c r="B2" t="s">
        <v>20</v>
      </c>
      <c r="C2" t="s">
        <v>22</v>
      </c>
      <c r="D2" s="2">
        <v>18573</v>
      </c>
      <c r="E2" s="2">
        <v>884363</v>
      </c>
      <c r="F2" s="2">
        <v>4727357</v>
      </c>
      <c r="G2" s="11">
        <v>111.92</v>
      </c>
      <c r="H2" t="s">
        <v>250</v>
      </c>
      <c r="I2" t="s">
        <v>256</v>
      </c>
      <c r="J2" t="s">
        <v>251</v>
      </c>
      <c r="K2">
        <v>12</v>
      </c>
      <c r="L2">
        <v>0</v>
      </c>
      <c r="M2">
        <v>1</v>
      </c>
      <c r="N2" s="6">
        <v>3</v>
      </c>
      <c r="O2" s="16">
        <f>40+10-(IF(H2="N",0.4,1))*(IF(H2="residential",0.7,1))*((D2/750+E2/60000+F2/250000)/2.5)+1-(IF(H2="N",0.4,1))*(IF(H2="residential",0.7,1))*(G2-50)/3+(P2-58000)/1000-K2*1.5+L2*2-(IF(NOT(ISNUMBER(SEARCH("spine",J2))),L2*5/6,0))+6-N2*3+25/7-M2/7+AC2+AE2+10/3-Q2/6+(IF(I2="WA", 18, 0))+(IF(I2="OR", 15, 0))+(IF(I2="NY", 9, 0))+(IF(I2="NoCal", 2, 0))+(IF(I2="Rockies", 5, 0))+(IF(I2="SoCal", -6, 0))+(IF(I2="SE", -3, 0))+(IF(I2="SW", 1, 0))+(IF(I2="NE", -4, 0))+(IF(I2="Midwest", -1, 0))</f>
        <v>-0.44688643809523754</v>
      </c>
      <c r="P2">
        <v>74463</v>
      </c>
      <c r="Q2" s="16">
        <v>70</v>
      </c>
      <c r="AF2" t="s">
        <v>338</v>
      </c>
    </row>
    <row r="3" spans="1:33" x14ac:dyDescent="0.55000000000000004">
      <c r="A3" t="s">
        <v>12</v>
      </c>
      <c r="B3" t="s">
        <v>23</v>
      </c>
      <c r="C3" t="s">
        <v>24</v>
      </c>
      <c r="D3" s="2">
        <v>7598</v>
      </c>
      <c r="E3" s="2">
        <v>611648</v>
      </c>
      <c r="F3" s="2">
        <v>2203663</v>
      </c>
      <c r="G3" s="11">
        <v>65.67</v>
      </c>
      <c r="H3" t="s">
        <v>265</v>
      </c>
      <c r="I3" t="s">
        <v>170</v>
      </c>
      <c r="J3" t="s">
        <v>277</v>
      </c>
      <c r="K3">
        <v>0</v>
      </c>
      <c r="L3">
        <v>24</v>
      </c>
      <c r="M3">
        <v>2</v>
      </c>
      <c r="N3" s="7">
        <v>5</v>
      </c>
      <c r="O3" s="16">
        <f t="shared" ref="O3:O66" si="0">40+10-(IF(H3="N",0.4,1))*(IF(H3="residential",0.7,1))*((D3/750+E3/60000+F3/250000)/2.5)+1-(IF(H3="N",0.4,1))*(IF(H3="residential",0.7,1))*(G3-50)/3+(P3-58000)/1000-K3*1.5+L3*2-(IF(NOT(ISNUMBER(SEARCH("spine",J3))),L3*5/6,0))+6-N3*3+25/7-M3/7+AC3+AE3+10/3-Q3/6+(IF(I3="WA", 18, 0))+(IF(I3="OR", 15, 0))+(IF(I3="NY", 9, 0))+(IF(I3="NoCal", 2, 0))+(IF(I3="Rockies", 5, 0))+(IF(I3="SoCal", -6, 0))+(IF(I3="SE", -3, 0))+(IF(I3="SW", 1, 0))+(IF(I3="NE", -4, 0))+(IF(I3="Midwest", -1, 0))</f>
        <v>58.474001059047602</v>
      </c>
      <c r="P3" s="3">
        <v>53337</v>
      </c>
      <c r="Q3" s="10">
        <v>10</v>
      </c>
      <c r="AB3" t="s">
        <v>278</v>
      </c>
      <c r="AC3">
        <v>-7</v>
      </c>
      <c r="AD3" t="s">
        <v>446</v>
      </c>
      <c r="AE3">
        <f>-5-4</f>
        <v>-9</v>
      </c>
      <c r="AF3" t="s">
        <v>338</v>
      </c>
    </row>
    <row r="4" spans="1:33" x14ac:dyDescent="0.55000000000000004">
      <c r="A4" t="s">
        <v>13</v>
      </c>
      <c r="B4" t="s">
        <v>222</v>
      </c>
      <c r="C4" t="s">
        <v>25</v>
      </c>
      <c r="D4" s="2">
        <v>3120</v>
      </c>
      <c r="E4" s="2">
        <v>1615017</v>
      </c>
      <c r="F4" s="2">
        <v>3629114</v>
      </c>
      <c r="G4" s="11">
        <v>51.2</v>
      </c>
      <c r="H4" t="s">
        <v>265</v>
      </c>
      <c r="I4" t="s">
        <v>255</v>
      </c>
      <c r="J4" t="s">
        <v>277</v>
      </c>
      <c r="K4" s="9">
        <v>3</v>
      </c>
      <c r="L4">
        <v>15</v>
      </c>
      <c r="M4">
        <v>3</v>
      </c>
      <c r="N4" s="6">
        <v>4</v>
      </c>
      <c r="O4" s="16">
        <f t="shared" si="0"/>
        <v>66.263370129523793</v>
      </c>
      <c r="P4" s="3">
        <v>56000</v>
      </c>
      <c r="Q4" s="10">
        <v>10</v>
      </c>
      <c r="AD4" t="s">
        <v>374</v>
      </c>
      <c r="AE4">
        <v>5</v>
      </c>
      <c r="AF4" t="s">
        <v>339</v>
      </c>
    </row>
    <row r="5" spans="1:33" x14ac:dyDescent="0.55000000000000004">
      <c r="A5" t="s">
        <v>175</v>
      </c>
      <c r="B5" t="s">
        <v>257</v>
      </c>
      <c r="C5" t="s">
        <v>26</v>
      </c>
      <c r="D5" s="2">
        <v>71999</v>
      </c>
      <c r="E5" s="10">
        <f>(8622698+1664727*2)/3</f>
        <v>3984050.6666666665</v>
      </c>
      <c r="F5" s="10">
        <f>8622698*2+1664727</f>
        <v>18910123</v>
      </c>
      <c r="G5" s="13">
        <v>110</v>
      </c>
      <c r="H5" t="s">
        <v>250</v>
      </c>
      <c r="I5" t="s">
        <v>26</v>
      </c>
      <c r="J5" t="s">
        <v>258</v>
      </c>
      <c r="K5">
        <v>24</v>
      </c>
      <c r="L5">
        <v>0</v>
      </c>
      <c r="M5">
        <v>4</v>
      </c>
      <c r="N5" s="7">
        <v>2</v>
      </c>
      <c r="O5" s="16">
        <f t="shared" si="0"/>
        <v>-77.93533457777778</v>
      </c>
      <c r="P5" s="3">
        <v>66614</v>
      </c>
      <c r="Q5" s="16">
        <v>10</v>
      </c>
      <c r="AF5" t="s">
        <v>338</v>
      </c>
    </row>
    <row r="6" spans="1:33" x14ac:dyDescent="0.55000000000000004">
      <c r="A6" t="s">
        <v>14</v>
      </c>
      <c r="B6" t="s">
        <v>134</v>
      </c>
      <c r="C6" t="s">
        <v>27</v>
      </c>
      <c r="D6" s="2">
        <v>2000</v>
      </c>
      <c r="E6" s="2">
        <v>114011</v>
      </c>
      <c r="F6" s="2">
        <v>107677</v>
      </c>
      <c r="G6" s="13">
        <v>40</v>
      </c>
      <c r="H6" t="s">
        <v>265</v>
      </c>
      <c r="I6" t="s">
        <v>260</v>
      </c>
      <c r="J6" t="s">
        <v>279</v>
      </c>
      <c r="K6">
        <v>0</v>
      </c>
      <c r="L6">
        <v>24</v>
      </c>
      <c r="M6">
        <v>5</v>
      </c>
      <c r="N6" s="7">
        <v>2.5</v>
      </c>
      <c r="O6" s="16">
        <f t="shared" si="0"/>
        <v>98.012159950476203</v>
      </c>
      <c r="P6">
        <v>61721</v>
      </c>
      <c r="Q6" s="10">
        <v>50</v>
      </c>
      <c r="AB6" t="s">
        <v>400</v>
      </c>
      <c r="AC6">
        <f>-6</f>
        <v>-6</v>
      </c>
      <c r="AD6" t="s">
        <v>374</v>
      </c>
      <c r="AE6">
        <v>5</v>
      </c>
      <c r="AF6" t="s">
        <v>338</v>
      </c>
    </row>
    <row r="7" spans="1:33" x14ac:dyDescent="0.55000000000000004">
      <c r="A7" t="s">
        <v>16</v>
      </c>
      <c r="B7" t="s">
        <v>28</v>
      </c>
      <c r="C7" t="s">
        <v>29</v>
      </c>
      <c r="D7" s="2">
        <v>8398</v>
      </c>
      <c r="E7" s="2">
        <v>713700</v>
      </c>
      <c r="F7" s="2">
        <v>3059393</v>
      </c>
      <c r="G7" s="11">
        <v>78.67</v>
      </c>
      <c r="H7" t="s">
        <v>250</v>
      </c>
      <c r="I7" t="s">
        <v>29</v>
      </c>
      <c r="J7" t="s">
        <v>277</v>
      </c>
      <c r="K7">
        <v>12</v>
      </c>
      <c r="L7">
        <v>12</v>
      </c>
      <c r="M7">
        <v>6</v>
      </c>
      <c r="N7" s="7">
        <v>3</v>
      </c>
      <c r="O7" s="16">
        <f t="shared" si="0"/>
        <v>53.301323580952392</v>
      </c>
      <c r="P7" s="8">
        <v>62609</v>
      </c>
      <c r="Q7" s="16">
        <v>10</v>
      </c>
      <c r="AB7" t="s">
        <v>280</v>
      </c>
      <c r="AC7">
        <v>-4</v>
      </c>
      <c r="AF7" t="s">
        <v>340</v>
      </c>
    </row>
    <row r="8" spans="1:33" x14ac:dyDescent="0.55000000000000004">
      <c r="A8" t="s">
        <v>17</v>
      </c>
      <c r="B8" t="s">
        <v>30</v>
      </c>
      <c r="C8" t="s">
        <v>31</v>
      </c>
      <c r="D8" s="2">
        <v>4800</v>
      </c>
      <c r="E8" s="2">
        <v>308626</v>
      </c>
      <c r="F8" s="2">
        <v>2150706</v>
      </c>
      <c r="G8" s="11">
        <v>53.22</v>
      </c>
      <c r="H8" t="s">
        <v>265</v>
      </c>
      <c r="I8" t="s">
        <v>262</v>
      </c>
      <c r="J8" t="s">
        <v>261</v>
      </c>
      <c r="K8">
        <v>18</v>
      </c>
      <c r="L8">
        <v>0</v>
      </c>
      <c r="M8">
        <v>7</v>
      </c>
      <c r="N8" s="6">
        <v>3</v>
      </c>
      <c r="O8" s="16">
        <f t="shared" si="0"/>
        <v>-2.9092834819047662</v>
      </c>
      <c r="P8" s="3">
        <v>60245</v>
      </c>
      <c r="Q8" s="16">
        <v>10</v>
      </c>
      <c r="AB8" t="s">
        <v>267</v>
      </c>
      <c r="AC8">
        <v>-16</v>
      </c>
      <c r="AD8" t="s">
        <v>445</v>
      </c>
      <c r="AE8">
        <v>-5</v>
      </c>
      <c r="AF8" t="s">
        <v>341</v>
      </c>
    </row>
    <row r="9" spans="1:33" x14ac:dyDescent="0.55000000000000004">
      <c r="A9" t="s">
        <v>18</v>
      </c>
      <c r="B9" t="s">
        <v>32</v>
      </c>
      <c r="C9" t="s">
        <v>33</v>
      </c>
      <c r="D9" s="2">
        <v>3547</v>
      </c>
      <c r="E9" s="2">
        <v>472522</v>
      </c>
      <c r="F9" s="2">
        <v>4975300</v>
      </c>
      <c r="G9" s="11">
        <v>60.72</v>
      </c>
      <c r="H9" t="s">
        <v>254</v>
      </c>
      <c r="I9" t="s">
        <v>262</v>
      </c>
      <c r="J9" t="s">
        <v>281</v>
      </c>
      <c r="K9" s="3">
        <v>5</v>
      </c>
      <c r="L9">
        <v>12</v>
      </c>
      <c r="M9">
        <v>8</v>
      </c>
      <c r="N9" s="7">
        <v>3</v>
      </c>
      <c r="O9" s="16">
        <f t="shared" si="0"/>
        <v>59.373960761904762</v>
      </c>
      <c r="P9" s="8">
        <v>64409</v>
      </c>
      <c r="Q9" s="16">
        <v>10</v>
      </c>
      <c r="AB9" t="s">
        <v>282</v>
      </c>
      <c r="AC9">
        <v>-6</v>
      </c>
      <c r="AF9" t="s">
        <v>342</v>
      </c>
    </row>
    <row r="10" spans="1:33" x14ac:dyDescent="0.55000000000000004">
      <c r="A10" t="s">
        <v>19</v>
      </c>
      <c r="B10" t="s">
        <v>34</v>
      </c>
      <c r="C10" t="s">
        <v>35</v>
      </c>
      <c r="D10" s="2">
        <v>13903</v>
      </c>
      <c r="E10" s="2">
        <v>687584</v>
      </c>
      <c r="F10" s="2">
        <v>4180000</v>
      </c>
      <c r="G10" s="11">
        <v>83.7</v>
      </c>
      <c r="H10" t="s">
        <v>250</v>
      </c>
      <c r="I10" t="s">
        <v>170</v>
      </c>
      <c r="J10" s="3" t="s">
        <v>283</v>
      </c>
      <c r="K10">
        <v>0</v>
      </c>
      <c r="L10">
        <v>24</v>
      </c>
      <c r="M10">
        <v>9</v>
      </c>
      <c r="N10" s="7">
        <v>3</v>
      </c>
      <c r="O10" s="16">
        <f t="shared" si="0"/>
        <v>69.541220952380939</v>
      </c>
      <c r="P10" s="3">
        <v>61509</v>
      </c>
      <c r="Q10" s="10">
        <v>10</v>
      </c>
      <c r="AF10" t="s">
        <v>343</v>
      </c>
    </row>
    <row r="11" spans="1:33" x14ac:dyDescent="0.55000000000000004">
      <c r="A11" t="s">
        <v>242</v>
      </c>
      <c r="B11" t="s">
        <v>37</v>
      </c>
      <c r="C11" t="s">
        <v>38</v>
      </c>
      <c r="D11" s="2">
        <v>5483</v>
      </c>
      <c r="E11" s="2">
        <v>303625</v>
      </c>
      <c r="F11" s="2">
        <v>1733853</v>
      </c>
      <c r="G11" s="11">
        <v>61.77</v>
      </c>
      <c r="H11" t="s">
        <v>250</v>
      </c>
      <c r="I11" t="s">
        <v>170</v>
      </c>
      <c r="J11" t="s">
        <v>306</v>
      </c>
      <c r="K11">
        <v>18</v>
      </c>
      <c r="L11">
        <v>0</v>
      </c>
      <c r="M11">
        <v>10</v>
      </c>
      <c r="N11" s="6">
        <v>4</v>
      </c>
      <c r="O11" s="16">
        <f t="shared" si="0"/>
        <v>6.957925676190472</v>
      </c>
      <c r="P11" s="8">
        <v>62461</v>
      </c>
      <c r="Q11" s="16">
        <v>50</v>
      </c>
      <c r="AD11" t="s">
        <v>375</v>
      </c>
      <c r="AE11">
        <v>3</v>
      </c>
      <c r="AF11" t="s">
        <v>338</v>
      </c>
    </row>
    <row r="12" spans="1:33" x14ac:dyDescent="0.55000000000000004">
      <c r="A12" t="s">
        <v>39</v>
      </c>
      <c r="B12" t="s">
        <v>257</v>
      </c>
      <c r="C12" t="s">
        <v>26</v>
      </c>
      <c r="D12" s="2">
        <v>71999</v>
      </c>
      <c r="E12" s="10">
        <f>(8622698+1664727*2)/3</f>
        <v>3984050.6666666665</v>
      </c>
      <c r="F12" s="10">
        <f>8622698*2+1664727</f>
        <v>18910123</v>
      </c>
      <c r="G12" s="13">
        <v>110</v>
      </c>
      <c r="H12" t="s">
        <v>250</v>
      </c>
      <c r="I12" t="s">
        <v>26</v>
      </c>
      <c r="J12" t="s">
        <v>266</v>
      </c>
      <c r="K12">
        <v>0</v>
      </c>
      <c r="L12">
        <v>12</v>
      </c>
      <c r="M12">
        <v>11</v>
      </c>
      <c r="N12" s="7">
        <v>2</v>
      </c>
      <c r="O12" s="16">
        <f t="shared" si="0"/>
        <v>-8.7523345777777806</v>
      </c>
      <c r="P12" s="3">
        <v>76797</v>
      </c>
      <c r="Q12" s="16">
        <v>10</v>
      </c>
      <c r="AF12" t="s">
        <v>338</v>
      </c>
    </row>
    <row r="13" spans="1:33" x14ac:dyDescent="0.55000000000000004">
      <c r="A13" t="s">
        <v>40</v>
      </c>
      <c r="B13" t="s">
        <v>41</v>
      </c>
      <c r="C13" t="s">
        <v>42</v>
      </c>
      <c r="D13" s="2">
        <v>4599</v>
      </c>
      <c r="E13" s="2">
        <v>46912</v>
      </c>
      <c r="F13" s="16">
        <f>1.7*229304/2.3</f>
        <v>169485.56521739133</v>
      </c>
      <c r="G13" s="13">
        <v>50</v>
      </c>
      <c r="H13" t="s">
        <v>250</v>
      </c>
      <c r="I13" t="s">
        <v>170</v>
      </c>
      <c r="J13" t="s">
        <v>268</v>
      </c>
      <c r="K13">
        <v>0</v>
      </c>
      <c r="L13">
        <v>24</v>
      </c>
      <c r="M13">
        <v>12</v>
      </c>
      <c r="N13" s="7">
        <v>3</v>
      </c>
      <c r="O13" s="16">
        <f t="shared" si="0"/>
        <v>102.20908595279502</v>
      </c>
      <c r="P13" s="8">
        <v>60722</v>
      </c>
      <c r="Q13" s="10">
        <v>10</v>
      </c>
      <c r="AB13" t="s">
        <v>466</v>
      </c>
      <c r="AC13">
        <v>7</v>
      </c>
      <c r="AF13" t="s">
        <v>338</v>
      </c>
    </row>
    <row r="14" spans="1:33" x14ac:dyDescent="0.55000000000000004">
      <c r="A14" t="s">
        <v>43</v>
      </c>
      <c r="B14" t="s">
        <v>44</v>
      </c>
      <c r="C14" t="s">
        <v>45</v>
      </c>
      <c r="D14" s="2">
        <v>4000</v>
      </c>
      <c r="E14" s="2">
        <v>120782</v>
      </c>
      <c r="F14" s="2">
        <v>306022</v>
      </c>
      <c r="G14" s="11">
        <v>56.56</v>
      </c>
      <c r="H14" t="s">
        <v>250</v>
      </c>
      <c r="I14" t="s">
        <v>260</v>
      </c>
      <c r="J14" t="s">
        <v>269</v>
      </c>
      <c r="K14" s="3">
        <v>12</v>
      </c>
      <c r="L14" s="3">
        <v>0</v>
      </c>
      <c r="M14">
        <v>13</v>
      </c>
      <c r="N14" s="7">
        <v>2.5</v>
      </c>
      <c r="O14" s="16">
        <f t="shared" si="0"/>
        <v>37.132103847619049</v>
      </c>
      <c r="P14">
        <v>66866</v>
      </c>
      <c r="Q14" s="10">
        <v>10</v>
      </c>
      <c r="AF14" t="s">
        <v>338</v>
      </c>
    </row>
    <row r="15" spans="1:33" x14ac:dyDescent="0.55000000000000004">
      <c r="A15" t="s">
        <v>46</v>
      </c>
      <c r="B15" t="s">
        <v>47</v>
      </c>
      <c r="C15" t="s">
        <v>22</v>
      </c>
      <c r="D15" s="2">
        <v>8483</v>
      </c>
      <c r="E15" s="2">
        <v>3976322</v>
      </c>
      <c r="F15" s="2">
        <v>12150996</v>
      </c>
      <c r="G15" s="11">
        <v>74.650000000000006</v>
      </c>
      <c r="H15" t="s">
        <v>250</v>
      </c>
      <c r="I15" t="s">
        <v>270</v>
      </c>
      <c r="J15" t="s">
        <v>284</v>
      </c>
      <c r="K15">
        <v>0</v>
      </c>
      <c r="L15">
        <v>12</v>
      </c>
      <c r="M15">
        <v>14</v>
      </c>
      <c r="N15" s="6">
        <v>3</v>
      </c>
      <c r="O15" s="16">
        <f t="shared" si="0"/>
        <v>19.433754971428566</v>
      </c>
      <c r="P15" s="3">
        <v>66887</v>
      </c>
      <c r="Q15" s="10">
        <v>10</v>
      </c>
      <c r="AF15" t="s">
        <v>338</v>
      </c>
    </row>
    <row r="16" spans="1:33" x14ac:dyDescent="0.55000000000000004">
      <c r="A16" t="s">
        <v>48</v>
      </c>
      <c r="B16" t="s">
        <v>34</v>
      </c>
      <c r="C16" t="s">
        <v>35</v>
      </c>
      <c r="D16" s="2">
        <v>13903</v>
      </c>
      <c r="E16" s="2">
        <v>687584</v>
      </c>
      <c r="F16" s="2">
        <v>4180000</v>
      </c>
      <c r="G16" s="11">
        <v>83.7</v>
      </c>
      <c r="H16" t="s">
        <v>250</v>
      </c>
      <c r="I16" t="s">
        <v>170</v>
      </c>
      <c r="J16" t="s">
        <v>272</v>
      </c>
      <c r="K16" s="3">
        <v>24</v>
      </c>
      <c r="L16" s="3">
        <v>0</v>
      </c>
      <c r="M16">
        <v>15</v>
      </c>
      <c r="N16" s="6">
        <v>3</v>
      </c>
      <c r="O16" s="16">
        <f t="shared" si="0"/>
        <v>-5.9709219047619078</v>
      </c>
      <c r="P16" s="8">
        <v>70854</v>
      </c>
      <c r="Q16" s="10">
        <v>10</v>
      </c>
      <c r="AF16" t="s">
        <v>338</v>
      </c>
    </row>
    <row r="17" spans="1:32" x14ac:dyDescent="0.55000000000000004">
      <c r="A17" t="s">
        <v>49</v>
      </c>
      <c r="B17" t="s">
        <v>273</v>
      </c>
      <c r="C17" t="s">
        <v>50</v>
      </c>
      <c r="D17" s="2">
        <v>3876</v>
      </c>
      <c r="E17" s="2">
        <v>1317929</v>
      </c>
      <c r="F17" s="2">
        <v>5121892</v>
      </c>
      <c r="G17" s="11">
        <v>56.74</v>
      </c>
      <c r="H17" t="s">
        <v>250</v>
      </c>
      <c r="I17" t="s">
        <v>255</v>
      </c>
      <c r="J17" t="s">
        <v>306</v>
      </c>
      <c r="K17">
        <v>0</v>
      </c>
      <c r="L17" s="3">
        <v>0</v>
      </c>
      <c r="M17">
        <v>16</v>
      </c>
      <c r="N17" s="6">
        <v>2.5</v>
      </c>
      <c r="O17" s="16">
        <f t="shared" si="0"/>
        <v>38.182293752380957</v>
      </c>
      <c r="P17">
        <v>64025</v>
      </c>
      <c r="Q17" s="10">
        <v>10</v>
      </c>
      <c r="AF17" t="s">
        <v>338</v>
      </c>
    </row>
    <row r="18" spans="1:32" x14ac:dyDescent="0.55000000000000004">
      <c r="A18" t="s">
        <v>51</v>
      </c>
      <c r="B18" t="s">
        <v>52</v>
      </c>
      <c r="C18" t="s">
        <v>53</v>
      </c>
      <c r="D18" s="2">
        <v>1678</v>
      </c>
      <c r="E18" s="2">
        <v>193744</v>
      </c>
      <c r="F18" s="2">
        <v>1021243</v>
      </c>
      <c r="G18" s="11">
        <v>52.27</v>
      </c>
      <c r="H18" t="s">
        <v>250</v>
      </c>
      <c r="I18" t="s">
        <v>255</v>
      </c>
      <c r="J18" t="s">
        <v>274</v>
      </c>
      <c r="K18" s="3">
        <v>12</v>
      </c>
      <c r="L18" s="3">
        <v>0</v>
      </c>
      <c r="M18">
        <v>17</v>
      </c>
      <c r="N18" s="6">
        <v>2.7</v>
      </c>
      <c r="O18" s="16">
        <f t="shared" si="0"/>
        <v>31.534308342857141</v>
      </c>
      <c r="P18">
        <v>61902</v>
      </c>
      <c r="Q18" s="17">
        <v>25</v>
      </c>
      <c r="R18" s="17"/>
      <c r="AF18" t="s">
        <v>338</v>
      </c>
    </row>
    <row r="19" spans="1:32" x14ac:dyDescent="0.55000000000000004">
      <c r="A19" t="s">
        <v>54</v>
      </c>
      <c r="B19" t="s">
        <v>47</v>
      </c>
      <c r="C19" t="s">
        <v>22</v>
      </c>
      <c r="D19" s="2">
        <v>8483</v>
      </c>
      <c r="E19" s="2">
        <v>3976322</v>
      </c>
      <c r="F19" s="2">
        <v>12150996</v>
      </c>
      <c r="G19" s="11">
        <v>74.650000000000006</v>
      </c>
      <c r="H19" t="s">
        <v>250</v>
      </c>
      <c r="I19" t="s">
        <v>270</v>
      </c>
      <c r="J19" t="s">
        <v>285</v>
      </c>
      <c r="K19">
        <v>12</v>
      </c>
      <c r="L19" s="8">
        <v>12</v>
      </c>
      <c r="M19">
        <v>18</v>
      </c>
      <c r="N19" s="6">
        <v>3</v>
      </c>
      <c r="O19" s="16">
        <f t="shared" si="0"/>
        <v>-10.413340266666673</v>
      </c>
      <c r="P19">
        <v>62278</v>
      </c>
      <c r="Q19" s="16">
        <v>50</v>
      </c>
      <c r="AF19" t="s">
        <v>344</v>
      </c>
    </row>
    <row r="20" spans="1:32" x14ac:dyDescent="0.55000000000000004">
      <c r="A20" t="s">
        <v>55</v>
      </c>
      <c r="B20" t="s">
        <v>56</v>
      </c>
      <c r="C20" t="s">
        <v>57</v>
      </c>
      <c r="D20" s="2">
        <v>2112</v>
      </c>
      <c r="E20" s="2">
        <v>131591</v>
      </c>
      <c r="F20" s="2">
        <v>187781</v>
      </c>
      <c r="G20" s="11">
        <v>50.61</v>
      </c>
      <c r="H20" t="s">
        <v>250</v>
      </c>
      <c r="I20" t="s">
        <v>262</v>
      </c>
      <c r="J20" t="s">
        <v>275</v>
      </c>
      <c r="K20" s="3">
        <v>12</v>
      </c>
      <c r="L20" s="3">
        <v>12</v>
      </c>
      <c r="M20">
        <v>19</v>
      </c>
      <c r="N20" s="6">
        <v>3</v>
      </c>
      <c r="O20" s="16">
        <f t="shared" si="0"/>
        <v>40.68735325714286</v>
      </c>
      <c r="P20">
        <v>57671</v>
      </c>
      <c r="Q20" s="10">
        <v>10</v>
      </c>
      <c r="AB20" t="s">
        <v>286</v>
      </c>
      <c r="AF20" t="s">
        <v>338</v>
      </c>
    </row>
    <row r="21" spans="1:32" x14ac:dyDescent="0.55000000000000004">
      <c r="A21" t="s">
        <v>58</v>
      </c>
      <c r="B21" t="s">
        <v>391</v>
      </c>
      <c r="C21" t="s">
        <v>22</v>
      </c>
      <c r="D21" s="2">
        <v>2808</v>
      </c>
      <c r="E21" s="10">
        <f>67024+13809</f>
        <v>80833</v>
      </c>
      <c r="F21" s="10">
        <v>225194</v>
      </c>
      <c r="G21" s="13">
        <v>80</v>
      </c>
      <c r="H21" t="s">
        <v>250</v>
      </c>
      <c r="I21" t="s">
        <v>256</v>
      </c>
      <c r="J21" t="s">
        <v>287</v>
      </c>
      <c r="K21" s="3">
        <v>4</v>
      </c>
      <c r="L21" s="9">
        <v>24</v>
      </c>
      <c r="M21">
        <v>20</v>
      </c>
      <c r="N21" s="6">
        <v>3</v>
      </c>
      <c r="O21" s="16">
        <f t="shared" si="0"/>
        <v>97.405488647619038</v>
      </c>
      <c r="P21" s="3">
        <v>80088</v>
      </c>
      <c r="Q21" s="16">
        <v>50</v>
      </c>
      <c r="AF21" t="s">
        <v>338</v>
      </c>
    </row>
    <row r="22" spans="1:32" x14ac:dyDescent="0.55000000000000004">
      <c r="A22" t="s">
        <v>59</v>
      </c>
      <c r="B22" t="s">
        <v>60</v>
      </c>
      <c r="C22" t="s">
        <v>61</v>
      </c>
      <c r="D22" s="2">
        <v>5107</v>
      </c>
      <c r="E22" s="2">
        <v>388072</v>
      </c>
      <c r="F22" s="2">
        <v>1780673</v>
      </c>
      <c r="G22" s="11">
        <v>57.08</v>
      </c>
      <c r="H22" t="s">
        <v>265</v>
      </c>
      <c r="I22" t="s">
        <v>260</v>
      </c>
      <c r="J22" t="s">
        <v>288</v>
      </c>
      <c r="K22" s="3">
        <v>0</v>
      </c>
      <c r="L22" s="3">
        <v>24</v>
      </c>
      <c r="M22">
        <v>21</v>
      </c>
      <c r="N22" s="6">
        <v>3</v>
      </c>
      <c r="O22" s="16">
        <f t="shared" si="0"/>
        <v>88.988125478095228</v>
      </c>
      <c r="P22">
        <v>60114</v>
      </c>
      <c r="Q22" s="10">
        <v>10</v>
      </c>
      <c r="AB22" t="s">
        <v>289</v>
      </c>
      <c r="AC22">
        <v>-3</v>
      </c>
      <c r="AF22" t="s">
        <v>345</v>
      </c>
    </row>
    <row r="23" spans="1:32" x14ac:dyDescent="0.55000000000000004">
      <c r="A23" t="s">
        <v>36</v>
      </c>
      <c r="B23" t="s">
        <v>62</v>
      </c>
      <c r="C23" t="s">
        <v>38</v>
      </c>
      <c r="D23" s="2">
        <v>11685</v>
      </c>
      <c r="E23" s="2">
        <v>1567872</v>
      </c>
      <c r="F23" s="16">
        <f>6069875*1.7/2.3</f>
        <v>4486429.3478260869</v>
      </c>
      <c r="G23" s="11">
        <v>69.59</v>
      </c>
      <c r="H23" t="s">
        <v>250</v>
      </c>
      <c r="I23" t="s">
        <v>170</v>
      </c>
      <c r="J23" t="s">
        <v>316</v>
      </c>
      <c r="K23" s="9">
        <v>16</v>
      </c>
      <c r="L23" s="3">
        <v>6</v>
      </c>
      <c r="M23">
        <v>22</v>
      </c>
      <c r="N23" s="6">
        <v>3</v>
      </c>
      <c r="O23" s="16">
        <f t="shared" si="0"/>
        <v>-0.42952886128364209</v>
      </c>
      <c r="P23" s="3">
        <v>65868</v>
      </c>
      <c r="Q23" s="16">
        <v>10</v>
      </c>
      <c r="AB23" t="s">
        <v>290</v>
      </c>
      <c r="AC23">
        <v>-7</v>
      </c>
      <c r="AF23" t="s">
        <v>338</v>
      </c>
    </row>
    <row r="24" spans="1:32" x14ac:dyDescent="0.55000000000000004">
      <c r="A24" t="s">
        <v>63</v>
      </c>
      <c r="B24" t="s">
        <v>64</v>
      </c>
      <c r="C24" t="s">
        <v>65</v>
      </c>
      <c r="D24" s="10">
        <v>2445</v>
      </c>
      <c r="E24" s="16">
        <v>263016</v>
      </c>
      <c r="F24" s="10">
        <f>1.7*542710/2.3</f>
        <v>401133.47826086957</v>
      </c>
      <c r="G24" s="13">
        <v>60.85</v>
      </c>
      <c r="H24" t="s">
        <v>250</v>
      </c>
      <c r="I24" t="s">
        <v>262</v>
      </c>
      <c r="J24" t="s">
        <v>291</v>
      </c>
      <c r="K24" s="3">
        <v>6</v>
      </c>
      <c r="L24" s="3">
        <v>18</v>
      </c>
      <c r="M24">
        <v>23</v>
      </c>
      <c r="N24" s="6">
        <v>3</v>
      </c>
      <c r="O24" s="16">
        <f t="shared" si="0"/>
        <v>70.225460720496869</v>
      </c>
      <c r="P24">
        <v>61589</v>
      </c>
      <c r="Q24" s="10">
        <v>10</v>
      </c>
      <c r="AF24" t="s">
        <v>338</v>
      </c>
    </row>
    <row r="25" spans="1:32" x14ac:dyDescent="0.55000000000000004">
      <c r="A25" t="s">
        <v>292</v>
      </c>
      <c r="B25" t="s">
        <v>66</v>
      </c>
      <c r="C25" t="s">
        <v>57</v>
      </c>
      <c r="D25" s="2">
        <v>12604</v>
      </c>
      <c r="E25" s="2">
        <v>453579</v>
      </c>
      <c r="F25" s="2">
        <v>5502379</v>
      </c>
      <c r="G25" s="11">
        <v>75.25</v>
      </c>
      <c r="H25" t="s">
        <v>250</v>
      </c>
      <c r="I25" t="s">
        <v>262</v>
      </c>
      <c r="J25" t="s">
        <v>293</v>
      </c>
      <c r="K25" s="9">
        <v>8</v>
      </c>
      <c r="L25" s="9">
        <v>12</v>
      </c>
      <c r="M25">
        <v>24</v>
      </c>
      <c r="N25" s="6">
        <v>3</v>
      </c>
      <c r="O25" s="16">
        <f t="shared" si="0"/>
        <v>31.683057409523812</v>
      </c>
      <c r="P25" s="3">
        <v>57840</v>
      </c>
      <c r="Q25" s="16">
        <v>10</v>
      </c>
      <c r="AF25" t="s">
        <v>346</v>
      </c>
    </row>
    <row r="26" spans="1:32" x14ac:dyDescent="0.55000000000000004">
      <c r="A26" t="s">
        <v>67</v>
      </c>
      <c r="B26" t="s">
        <v>68</v>
      </c>
      <c r="C26" t="s">
        <v>69</v>
      </c>
      <c r="D26" s="2">
        <v>2366</v>
      </c>
      <c r="E26" s="2">
        <v>855164</v>
      </c>
      <c r="F26" s="2">
        <v>1487483</v>
      </c>
      <c r="G26" s="11">
        <v>54.4</v>
      </c>
      <c r="H26" t="s">
        <v>250</v>
      </c>
      <c r="I26" t="s">
        <v>260</v>
      </c>
      <c r="J26" t="s">
        <v>295</v>
      </c>
      <c r="K26" s="3">
        <v>0</v>
      </c>
      <c r="L26" s="3">
        <v>0</v>
      </c>
      <c r="M26">
        <v>25</v>
      </c>
      <c r="N26" s="6">
        <v>2.75</v>
      </c>
      <c r="O26" s="16">
        <f t="shared" si="0"/>
        <v>46.726067200000003</v>
      </c>
      <c r="P26">
        <v>61119</v>
      </c>
      <c r="Q26" s="16">
        <v>10</v>
      </c>
      <c r="AD26" t="s">
        <v>374</v>
      </c>
      <c r="AE26">
        <v>5</v>
      </c>
      <c r="AF26" t="s">
        <v>338</v>
      </c>
    </row>
    <row r="27" spans="1:32" x14ac:dyDescent="0.55000000000000004">
      <c r="A27" t="s">
        <v>70</v>
      </c>
      <c r="B27" t="s">
        <v>71</v>
      </c>
      <c r="C27" t="s">
        <v>72</v>
      </c>
      <c r="D27" s="2">
        <v>1300</v>
      </c>
      <c r="E27" s="2">
        <v>691243</v>
      </c>
      <c r="F27" s="2">
        <f>1.7*1903045/2.3</f>
        <v>1406598.4782608696</v>
      </c>
      <c r="G27" s="11">
        <v>61.75</v>
      </c>
      <c r="H27" t="s">
        <v>265</v>
      </c>
      <c r="I27" t="s">
        <v>262</v>
      </c>
      <c r="J27" t="s">
        <v>347</v>
      </c>
      <c r="K27" s="9">
        <v>0</v>
      </c>
      <c r="L27" s="9">
        <v>24</v>
      </c>
      <c r="M27">
        <v>26</v>
      </c>
      <c r="N27" s="6">
        <v>3</v>
      </c>
      <c r="O27" s="16">
        <f t="shared" si="0"/>
        <v>90.076618561490676</v>
      </c>
      <c r="P27" s="9">
        <v>62581</v>
      </c>
      <c r="Q27" s="16">
        <v>10</v>
      </c>
      <c r="AB27" t="s">
        <v>296</v>
      </c>
      <c r="AC27">
        <v>-1</v>
      </c>
      <c r="AF27" t="s">
        <v>351</v>
      </c>
    </row>
    <row r="28" spans="1:32" x14ac:dyDescent="0.55000000000000004">
      <c r="A28" t="s">
        <v>297</v>
      </c>
      <c r="B28" t="s">
        <v>257</v>
      </c>
      <c r="C28" t="s">
        <v>26</v>
      </c>
      <c r="D28" s="2">
        <v>71999</v>
      </c>
      <c r="E28" s="10">
        <f>(8622698+1664727*2)/3</f>
        <v>3984050.6666666665</v>
      </c>
      <c r="F28" s="10">
        <f>8622698*2+1664727</f>
        <v>18910123</v>
      </c>
      <c r="G28" s="13">
        <v>110</v>
      </c>
      <c r="H28" t="s">
        <v>250</v>
      </c>
      <c r="I28" t="s">
        <v>26</v>
      </c>
      <c r="J28" t="s">
        <v>298</v>
      </c>
      <c r="K28" s="3">
        <v>12</v>
      </c>
      <c r="L28" s="3">
        <v>12</v>
      </c>
      <c r="M28">
        <v>27</v>
      </c>
      <c r="N28" s="6">
        <v>2.2000000000000002</v>
      </c>
      <c r="O28" s="16">
        <f t="shared" si="0"/>
        <v>-39.347048863492063</v>
      </c>
      <c r="P28" s="3">
        <v>75088</v>
      </c>
      <c r="Q28" s="10">
        <v>10</v>
      </c>
      <c r="AB28" t="s">
        <v>299</v>
      </c>
      <c r="AC28">
        <v>-8</v>
      </c>
      <c r="AF28" t="s">
        <v>348</v>
      </c>
    </row>
    <row r="29" spans="1:32" x14ac:dyDescent="0.55000000000000004">
      <c r="A29" t="s">
        <v>73</v>
      </c>
      <c r="B29" t="s">
        <v>74</v>
      </c>
      <c r="C29" t="s">
        <v>57</v>
      </c>
      <c r="D29" s="2">
        <v>1178</v>
      </c>
      <c r="E29" s="2">
        <v>907529</v>
      </c>
      <c r="F29" s="2">
        <v>1065219</v>
      </c>
      <c r="G29" s="11">
        <v>55.63</v>
      </c>
      <c r="H29" t="s">
        <v>254</v>
      </c>
      <c r="I29" t="s">
        <v>262</v>
      </c>
      <c r="J29" t="s">
        <v>300</v>
      </c>
      <c r="K29" s="9">
        <v>3</v>
      </c>
      <c r="L29" s="9">
        <v>12</v>
      </c>
      <c r="M29">
        <v>28</v>
      </c>
      <c r="N29" s="6">
        <v>1</v>
      </c>
      <c r="O29" s="16">
        <f t="shared" si="0"/>
        <v>76.355304411428563</v>
      </c>
      <c r="P29" s="9">
        <v>61721</v>
      </c>
      <c r="Q29" s="10">
        <v>10</v>
      </c>
      <c r="AB29" t="s">
        <v>304</v>
      </c>
      <c r="AC29">
        <v>5</v>
      </c>
      <c r="AF29" t="s">
        <v>349</v>
      </c>
    </row>
    <row r="30" spans="1:32" x14ac:dyDescent="0.55000000000000004">
      <c r="A30" t="s">
        <v>75</v>
      </c>
      <c r="B30" t="s">
        <v>76</v>
      </c>
      <c r="C30" t="s">
        <v>72</v>
      </c>
      <c r="D30" s="2">
        <v>2000</v>
      </c>
      <c r="E30" s="2">
        <v>652717</v>
      </c>
      <c r="F30" s="2">
        <v>1060061</v>
      </c>
      <c r="G30" s="13">
        <v>62</v>
      </c>
      <c r="H30" t="s">
        <v>265</v>
      </c>
      <c r="I30" t="s">
        <v>262</v>
      </c>
      <c r="J30" t="s">
        <v>301</v>
      </c>
      <c r="K30" s="3">
        <v>0</v>
      </c>
      <c r="L30" s="3">
        <v>0</v>
      </c>
      <c r="M30">
        <v>29</v>
      </c>
      <c r="N30" s="6">
        <v>2</v>
      </c>
      <c r="O30" s="16">
        <f t="shared" si="0"/>
        <v>14.621290441904755</v>
      </c>
      <c r="P30" s="9">
        <v>57806</v>
      </c>
      <c r="Q30" s="10">
        <v>10</v>
      </c>
      <c r="AB30" t="s">
        <v>302</v>
      </c>
      <c r="AC30">
        <f>-7*1.5-16</f>
        <v>-26.5</v>
      </c>
      <c r="AF30" t="s">
        <v>338</v>
      </c>
    </row>
    <row r="31" spans="1:32" x14ac:dyDescent="0.55000000000000004">
      <c r="A31" t="s">
        <v>77</v>
      </c>
      <c r="B31" t="s">
        <v>78</v>
      </c>
      <c r="C31" t="s">
        <v>79</v>
      </c>
      <c r="D31" s="2">
        <v>11898</v>
      </c>
      <c r="E31" s="2">
        <v>2704598</v>
      </c>
      <c r="F31" s="2">
        <f>1.7*9512999/2.3</f>
        <v>7031347.0869565215</v>
      </c>
      <c r="G31" s="11">
        <v>72.13</v>
      </c>
      <c r="H31" t="s">
        <v>250</v>
      </c>
      <c r="I31" t="s">
        <v>260</v>
      </c>
      <c r="J31" t="s">
        <v>303</v>
      </c>
      <c r="K31" s="9">
        <v>0</v>
      </c>
      <c r="L31" s="9">
        <v>24</v>
      </c>
      <c r="M31">
        <v>30</v>
      </c>
      <c r="N31" s="6">
        <v>2.7</v>
      </c>
      <c r="O31" s="16">
        <f t="shared" si="0"/>
        <v>61.423305613250527</v>
      </c>
      <c r="P31" s="9">
        <v>66574</v>
      </c>
      <c r="Q31" s="10">
        <v>10</v>
      </c>
      <c r="AB31" t="s">
        <v>463</v>
      </c>
      <c r="AC31">
        <f>8-6*1.5</f>
        <v>-1</v>
      </c>
      <c r="AF31" t="s">
        <v>338</v>
      </c>
    </row>
    <row r="32" spans="1:32" x14ac:dyDescent="0.55000000000000004">
      <c r="A32" t="s">
        <v>80</v>
      </c>
      <c r="B32" t="s">
        <v>257</v>
      </c>
      <c r="C32" t="s">
        <v>26</v>
      </c>
      <c r="D32" s="2">
        <v>71999</v>
      </c>
      <c r="E32" s="10">
        <f>(8622698+1664727*2)/3</f>
        <v>3984050.6666666665</v>
      </c>
      <c r="F32" s="10">
        <f>8622698*2+1664727</f>
        <v>18910123</v>
      </c>
      <c r="G32" s="13">
        <v>110</v>
      </c>
      <c r="H32" t="s">
        <v>250</v>
      </c>
      <c r="I32" t="s">
        <v>26</v>
      </c>
      <c r="J32" t="s">
        <v>300</v>
      </c>
      <c r="K32" s="9">
        <v>6</v>
      </c>
      <c r="L32" s="9">
        <v>12</v>
      </c>
      <c r="M32">
        <v>31</v>
      </c>
      <c r="N32" s="6">
        <v>2</v>
      </c>
      <c r="O32" s="16">
        <f t="shared" si="0"/>
        <v>-24.927477434920625</v>
      </c>
      <c r="P32" s="3">
        <v>72479</v>
      </c>
      <c r="Q32" s="10">
        <v>10</v>
      </c>
      <c r="AF32" t="s">
        <v>349</v>
      </c>
    </row>
    <row r="33" spans="1:32" x14ac:dyDescent="0.55000000000000004">
      <c r="A33" t="s">
        <v>81</v>
      </c>
      <c r="B33" t="s">
        <v>82</v>
      </c>
      <c r="C33" t="s">
        <v>83</v>
      </c>
      <c r="D33" s="2">
        <v>1453</v>
      </c>
      <c r="E33" s="2">
        <v>212157</v>
      </c>
      <c r="F33" s="2">
        <v>749497</v>
      </c>
      <c r="G33" s="11">
        <v>52.37</v>
      </c>
      <c r="H33" t="s">
        <v>250</v>
      </c>
      <c r="I33" t="s">
        <v>262</v>
      </c>
      <c r="J33" t="s">
        <v>305</v>
      </c>
      <c r="K33" s="3">
        <v>12</v>
      </c>
      <c r="L33" s="3">
        <v>0</v>
      </c>
      <c r="M33">
        <v>32</v>
      </c>
      <c r="N33" s="6">
        <v>2.7</v>
      </c>
      <c r="O33" s="16">
        <f t="shared" si="0"/>
        <v>24.425158133333326</v>
      </c>
      <c r="P33" s="9">
        <v>58037</v>
      </c>
      <c r="Q33" s="10">
        <v>10</v>
      </c>
      <c r="AF33" t="s">
        <v>350</v>
      </c>
    </row>
    <row r="34" spans="1:32" x14ac:dyDescent="0.55000000000000004">
      <c r="A34" t="s">
        <v>84</v>
      </c>
      <c r="B34" t="s">
        <v>85</v>
      </c>
      <c r="C34" t="s">
        <v>50</v>
      </c>
      <c r="D34" s="2">
        <v>3660</v>
      </c>
      <c r="E34" s="2">
        <v>2303482</v>
      </c>
      <c r="F34" s="2">
        <v>4944332</v>
      </c>
      <c r="G34" s="11">
        <v>61.11</v>
      </c>
      <c r="H34" t="s">
        <v>250</v>
      </c>
      <c r="I34" t="s">
        <v>255</v>
      </c>
      <c r="J34" t="s">
        <v>306</v>
      </c>
      <c r="K34" s="9">
        <v>12</v>
      </c>
      <c r="L34" s="9">
        <v>0</v>
      </c>
      <c r="M34">
        <v>33</v>
      </c>
      <c r="N34" s="6">
        <v>3</v>
      </c>
      <c r="O34" s="16">
        <f t="shared" si="0"/>
        <v>2.8469983238095207</v>
      </c>
      <c r="P34" s="9">
        <v>62246</v>
      </c>
      <c r="Q34" s="10">
        <v>10</v>
      </c>
      <c r="AB34" t="s">
        <v>307</v>
      </c>
      <c r="AC34">
        <v>-4</v>
      </c>
      <c r="AF34" t="s">
        <v>338</v>
      </c>
    </row>
    <row r="35" spans="1:32" x14ac:dyDescent="0.55000000000000004">
      <c r="A35" t="s">
        <v>86</v>
      </c>
      <c r="B35" t="s">
        <v>62</v>
      </c>
      <c r="C35" t="s">
        <v>38</v>
      </c>
      <c r="D35" s="2">
        <v>11685</v>
      </c>
      <c r="E35" s="2">
        <v>1567872</v>
      </c>
      <c r="F35" s="16">
        <f>6069875*1.7/2.3</f>
        <v>4486429.3478260869</v>
      </c>
      <c r="G35" s="11">
        <v>69.59</v>
      </c>
      <c r="H35" t="s">
        <v>250</v>
      </c>
      <c r="I35" t="s">
        <v>170</v>
      </c>
      <c r="J35" t="s">
        <v>306</v>
      </c>
      <c r="K35" s="9">
        <v>12</v>
      </c>
      <c r="L35" s="3">
        <v>0</v>
      </c>
      <c r="M35">
        <v>34</v>
      </c>
      <c r="N35" s="6">
        <v>3</v>
      </c>
      <c r="O35" s="16">
        <f t="shared" si="0"/>
        <v>-2.1378145755693598</v>
      </c>
      <c r="P35" s="9">
        <v>62874</v>
      </c>
      <c r="Q35" s="16">
        <v>10</v>
      </c>
      <c r="AB35" t="s">
        <v>308</v>
      </c>
      <c r="AC35">
        <v>-3</v>
      </c>
      <c r="AF35" t="s">
        <v>338</v>
      </c>
    </row>
    <row r="36" spans="1:32" x14ac:dyDescent="0.55000000000000004">
      <c r="A36" t="s">
        <v>245</v>
      </c>
      <c r="B36" t="s">
        <v>85</v>
      </c>
      <c r="C36" t="s">
        <v>50</v>
      </c>
      <c r="D36" s="2">
        <v>3660</v>
      </c>
      <c r="E36" s="2">
        <v>2303482</v>
      </c>
      <c r="F36" s="2">
        <v>4944332</v>
      </c>
      <c r="G36" s="11">
        <v>61.11</v>
      </c>
      <c r="H36" t="s">
        <v>250</v>
      </c>
      <c r="I36" t="s">
        <v>255</v>
      </c>
      <c r="J36" t="s">
        <v>309</v>
      </c>
      <c r="K36" s="9">
        <v>12</v>
      </c>
      <c r="L36" s="9">
        <v>12</v>
      </c>
      <c r="M36">
        <v>35</v>
      </c>
      <c r="N36" s="6">
        <v>3</v>
      </c>
      <c r="O36" s="16">
        <f t="shared" si="0"/>
        <v>35.641284038095236</v>
      </c>
      <c r="P36" s="9">
        <v>61326</v>
      </c>
      <c r="Q36" s="16">
        <v>10</v>
      </c>
      <c r="AB36" t="s">
        <v>310</v>
      </c>
      <c r="AC36">
        <v>6</v>
      </c>
      <c r="AF36" t="s">
        <v>338</v>
      </c>
    </row>
    <row r="37" spans="1:32" x14ac:dyDescent="0.55000000000000004">
      <c r="A37" t="s">
        <v>87</v>
      </c>
      <c r="B37" t="s">
        <v>88</v>
      </c>
      <c r="C37" t="s">
        <v>89</v>
      </c>
      <c r="D37" s="2">
        <v>2700</v>
      </c>
      <c r="E37" s="2">
        <v>74398</v>
      </c>
      <c r="F37" s="2">
        <f>1.7*164357/2.3</f>
        <v>121481.26086956522</v>
      </c>
      <c r="G37" s="13">
        <v>50</v>
      </c>
      <c r="H37" t="s">
        <v>250</v>
      </c>
      <c r="I37" t="s">
        <v>260</v>
      </c>
      <c r="J37" t="s">
        <v>316</v>
      </c>
      <c r="K37" s="3">
        <v>24</v>
      </c>
      <c r="L37" s="9">
        <v>6</v>
      </c>
      <c r="M37">
        <v>36</v>
      </c>
      <c r="N37" s="6">
        <v>2</v>
      </c>
      <c r="O37" s="16">
        <f t="shared" si="0"/>
        <v>5.4358814111801284</v>
      </c>
      <c r="P37" s="9">
        <v>61471</v>
      </c>
      <c r="Q37" s="16">
        <v>70</v>
      </c>
      <c r="AB37" t="s">
        <v>311</v>
      </c>
      <c r="AC37">
        <f>-2-2-2*1.5</f>
        <v>-7</v>
      </c>
      <c r="AF37" t="s">
        <v>349</v>
      </c>
    </row>
    <row r="38" spans="1:32" x14ac:dyDescent="0.55000000000000004">
      <c r="A38" t="s">
        <v>90</v>
      </c>
      <c r="B38" t="s">
        <v>78</v>
      </c>
      <c r="C38" t="s">
        <v>79</v>
      </c>
      <c r="D38" s="2">
        <v>11898</v>
      </c>
      <c r="E38" s="2">
        <v>2704598</v>
      </c>
      <c r="F38" s="2">
        <f>1.7*9512999/2.3</f>
        <v>7031347.0869565215</v>
      </c>
      <c r="G38" s="11">
        <v>72.13</v>
      </c>
      <c r="H38" t="s">
        <v>250</v>
      </c>
      <c r="I38" t="s">
        <v>260</v>
      </c>
      <c r="J38" t="s">
        <v>316</v>
      </c>
      <c r="K38" s="3">
        <v>12</v>
      </c>
      <c r="L38" s="3">
        <v>8</v>
      </c>
      <c r="M38">
        <v>37</v>
      </c>
      <c r="N38" s="6">
        <v>2.5</v>
      </c>
      <c r="O38" s="16">
        <f t="shared" si="0"/>
        <v>3.0596389465838518</v>
      </c>
      <c r="P38" s="3">
        <v>64277</v>
      </c>
      <c r="Q38" s="10">
        <v>10</v>
      </c>
      <c r="AB38" t="s">
        <v>378</v>
      </c>
      <c r="AF38" t="s">
        <v>338</v>
      </c>
    </row>
    <row r="39" spans="1:32" x14ac:dyDescent="0.55000000000000004">
      <c r="A39" t="s">
        <v>91</v>
      </c>
      <c r="B39" t="s">
        <v>60</v>
      </c>
      <c r="C39" t="s">
        <v>61</v>
      </c>
      <c r="D39" s="2">
        <v>5107</v>
      </c>
      <c r="E39" s="2">
        <v>388072</v>
      </c>
      <c r="F39" s="2">
        <v>1780673</v>
      </c>
      <c r="G39" s="11">
        <v>57.08</v>
      </c>
      <c r="H39" t="s">
        <v>265</v>
      </c>
      <c r="I39" t="s">
        <v>260</v>
      </c>
      <c r="J39" t="s">
        <v>300</v>
      </c>
      <c r="K39" s="9">
        <v>0</v>
      </c>
      <c r="L39" s="9">
        <v>18</v>
      </c>
      <c r="M39">
        <v>38</v>
      </c>
      <c r="N39" s="6">
        <v>2.5</v>
      </c>
      <c r="O39" s="16">
        <f t="shared" si="0"/>
        <v>83.23955404952379</v>
      </c>
      <c r="P39" s="9">
        <v>60294</v>
      </c>
      <c r="Q39" s="16">
        <v>10</v>
      </c>
      <c r="AB39" t="s">
        <v>312</v>
      </c>
      <c r="AC39">
        <v>4</v>
      </c>
      <c r="AF39" t="s">
        <v>353</v>
      </c>
    </row>
    <row r="40" spans="1:32" x14ac:dyDescent="0.55000000000000004">
      <c r="A40" t="s">
        <v>92</v>
      </c>
      <c r="B40" t="s">
        <v>93</v>
      </c>
      <c r="C40" t="s">
        <v>27</v>
      </c>
      <c r="D40" s="2">
        <v>7660</v>
      </c>
      <c r="E40" s="10">
        <f>(303138+413651)*3/4</f>
        <v>537591.75</v>
      </c>
      <c r="F40" s="2">
        <v>3112117</v>
      </c>
      <c r="G40" s="11">
        <v>62.91</v>
      </c>
      <c r="H40" t="s">
        <v>250</v>
      </c>
      <c r="I40" t="s">
        <v>260</v>
      </c>
      <c r="J40" t="s">
        <v>300</v>
      </c>
      <c r="K40" s="9">
        <v>0</v>
      </c>
      <c r="L40" s="9">
        <v>12</v>
      </c>
      <c r="M40">
        <v>39</v>
      </c>
      <c r="N40" s="6">
        <v>2</v>
      </c>
      <c r="O40" s="16">
        <f t="shared" si="0"/>
        <v>53.408667800000003</v>
      </c>
      <c r="P40" s="9">
        <v>58694</v>
      </c>
      <c r="Q40" s="10">
        <v>10</v>
      </c>
      <c r="AB40" t="s">
        <v>399</v>
      </c>
      <c r="AC40">
        <v>-4</v>
      </c>
      <c r="AF40" t="s">
        <v>338</v>
      </c>
    </row>
    <row r="41" spans="1:32" x14ac:dyDescent="0.55000000000000004">
      <c r="A41" t="s">
        <v>94</v>
      </c>
      <c r="B41" t="s">
        <v>95</v>
      </c>
      <c r="C41" t="s">
        <v>96</v>
      </c>
      <c r="D41" s="2">
        <v>4375</v>
      </c>
      <c r="E41" s="2">
        <v>639863</v>
      </c>
      <c r="F41" s="2">
        <v>1849898</v>
      </c>
      <c r="G41" s="11">
        <v>67.28</v>
      </c>
      <c r="H41" t="s">
        <v>250</v>
      </c>
      <c r="I41" t="s">
        <v>96</v>
      </c>
      <c r="J41" t="s">
        <v>316</v>
      </c>
      <c r="K41" s="9">
        <v>18</v>
      </c>
      <c r="L41" s="9">
        <v>4</v>
      </c>
      <c r="M41">
        <v>40</v>
      </c>
      <c r="N41" s="6">
        <v>2.2000000000000002</v>
      </c>
      <c r="O41" s="16">
        <f t="shared" si="0"/>
        <v>34.12855272380952</v>
      </c>
      <c r="P41" s="9">
        <v>64857</v>
      </c>
      <c r="Q41" s="10">
        <v>10</v>
      </c>
      <c r="AF41" t="s">
        <v>354</v>
      </c>
    </row>
    <row r="42" spans="1:32" x14ac:dyDescent="0.55000000000000004">
      <c r="A42" t="s">
        <v>240</v>
      </c>
      <c r="B42" t="s">
        <v>239</v>
      </c>
      <c r="C42" t="s">
        <v>61</v>
      </c>
      <c r="D42" s="2">
        <v>3960</v>
      </c>
      <c r="E42" s="2">
        <v>860090</v>
      </c>
      <c r="F42" s="2">
        <v>1368035</v>
      </c>
      <c r="G42" s="11">
        <v>53.65</v>
      </c>
      <c r="H42" t="s">
        <v>265</v>
      </c>
      <c r="I42" t="s">
        <v>260</v>
      </c>
      <c r="J42" t="s">
        <v>314</v>
      </c>
      <c r="K42" s="9">
        <v>0</v>
      </c>
      <c r="L42" s="9">
        <v>24</v>
      </c>
      <c r="M42">
        <v>41</v>
      </c>
      <c r="N42" s="6">
        <v>2.5</v>
      </c>
      <c r="O42" s="16">
        <f t="shared" si="0"/>
        <v>79.504933180952364</v>
      </c>
      <c r="P42" s="9">
        <v>56500</v>
      </c>
      <c r="Q42" s="10">
        <v>10</v>
      </c>
      <c r="AB42" t="s">
        <v>313</v>
      </c>
      <c r="AC42">
        <f>-2-5</f>
        <v>-7</v>
      </c>
      <c r="AF42" t="s">
        <v>355</v>
      </c>
    </row>
    <row r="43" spans="1:32" x14ac:dyDescent="0.55000000000000004">
      <c r="A43" t="s">
        <v>98</v>
      </c>
      <c r="B43" t="s">
        <v>99</v>
      </c>
      <c r="C43" t="s">
        <v>57</v>
      </c>
      <c r="D43" s="2">
        <v>3325</v>
      </c>
      <c r="E43" s="2">
        <v>377165</v>
      </c>
      <c r="F43" s="2">
        <v>2400000</v>
      </c>
      <c r="G43" s="11">
        <v>58.87</v>
      </c>
      <c r="H43" t="s">
        <v>250</v>
      </c>
      <c r="I43" t="s">
        <v>262</v>
      </c>
      <c r="J43" t="s">
        <v>315</v>
      </c>
      <c r="K43" s="9">
        <v>0</v>
      </c>
      <c r="L43" s="9">
        <v>12</v>
      </c>
      <c r="M43">
        <v>42</v>
      </c>
      <c r="N43" s="6">
        <v>2</v>
      </c>
      <c r="O43" s="16">
        <f t="shared" si="0"/>
        <v>61.441661904761887</v>
      </c>
      <c r="P43" s="9">
        <v>56288</v>
      </c>
      <c r="Q43" s="10">
        <v>10</v>
      </c>
      <c r="AB43" t="s">
        <v>464</v>
      </c>
      <c r="AC43">
        <f>6-3</f>
        <v>3</v>
      </c>
      <c r="AF43" t="s">
        <v>338</v>
      </c>
    </row>
    <row r="44" spans="1:32" x14ac:dyDescent="0.55000000000000004">
      <c r="A44" t="s">
        <v>100</v>
      </c>
      <c r="B44" t="s">
        <v>47</v>
      </c>
      <c r="C44" t="s">
        <v>22</v>
      </c>
      <c r="D44" s="2">
        <v>8483</v>
      </c>
      <c r="E44" s="2">
        <v>3976322</v>
      </c>
      <c r="F44" s="2">
        <v>12150996</v>
      </c>
      <c r="G44" s="11">
        <v>74.650000000000006</v>
      </c>
      <c r="H44" t="s">
        <v>250</v>
      </c>
      <c r="I44" t="s">
        <v>270</v>
      </c>
      <c r="J44" t="s">
        <v>316</v>
      </c>
      <c r="K44" s="9">
        <v>12</v>
      </c>
      <c r="L44" s="9">
        <v>3</v>
      </c>
      <c r="M44">
        <v>43</v>
      </c>
      <c r="N44" s="7">
        <v>1.5</v>
      </c>
      <c r="O44" s="16">
        <f t="shared" si="0"/>
        <v>-22.254102171428578</v>
      </c>
      <c r="P44" s="9">
        <v>63342</v>
      </c>
      <c r="Q44" s="10">
        <v>10</v>
      </c>
      <c r="AF44" t="s">
        <v>338</v>
      </c>
    </row>
    <row r="45" spans="1:32" x14ac:dyDescent="0.55000000000000004">
      <c r="A45" t="s">
        <v>101</v>
      </c>
      <c r="B45" t="s">
        <v>102</v>
      </c>
      <c r="C45" t="s">
        <v>65</v>
      </c>
      <c r="D45" s="2">
        <v>2687</v>
      </c>
      <c r="E45" s="10">
        <v>57233</v>
      </c>
      <c r="F45" s="10">
        <f>1.7*2*2199459/(2.3*3)</f>
        <v>1083791.3913043479</v>
      </c>
      <c r="G45" s="13">
        <v>54</v>
      </c>
      <c r="H45" t="s">
        <v>250</v>
      </c>
      <c r="I45" t="s">
        <v>262</v>
      </c>
      <c r="J45" t="s">
        <v>316</v>
      </c>
      <c r="K45" s="9">
        <v>0</v>
      </c>
      <c r="L45" s="9">
        <v>6</v>
      </c>
      <c r="M45">
        <v>44</v>
      </c>
      <c r="N45" s="6">
        <v>2</v>
      </c>
      <c r="O45" s="16">
        <f t="shared" si="0"/>
        <v>39.85836139296066</v>
      </c>
      <c r="P45" s="9">
        <v>58788</v>
      </c>
      <c r="Q45" s="16">
        <v>10</v>
      </c>
      <c r="AB45" t="s">
        <v>384</v>
      </c>
      <c r="AC45">
        <f>-13+3</f>
        <v>-10</v>
      </c>
      <c r="AF45" t="s">
        <v>343</v>
      </c>
    </row>
    <row r="46" spans="1:32" x14ac:dyDescent="0.55000000000000004">
      <c r="A46" t="s">
        <v>103</v>
      </c>
      <c r="B46" t="s">
        <v>104</v>
      </c>
      <c r="C46" t="s">
        <v>105</v>
      </c>
      <c r="D46" s="2">
        <v>1152</v>
      </c>
      <c r="E46" s="2">
        <v>138036</v>
      </c>
      <c r="F46" s="2">
        <v>548404</v>
      </c>
      <c r="G46" s="11">
        <v>69.400000000000006</v>
      </c>
      <c r="H46" t="s">
        <v>250</v>
      </c>
      <c r="I46" t="s">
        <v>262</v>
      </c>
      <c r="J46" t="s">
        <v>306</v>
      </c>
      <c r="K46" s="9">
        <v>12</v>
      </c>
      <c r="L46" s="9">
        <v>0</v>
      </c>
      <c r="M46">
        <v>45</v>
      </c>
      <c r="N46" s="6">
        <v>2</v>
      </c>
      <c r="O46" s="16">
        <f t="shared" si="0"/>
        <v>20.737770742857144</v>
      </c>
      <c r="P46" s="9">
        <v>57807</v>
      </c>
      <c r="Q46" s="16">
        <v>10</v>
      </c>
      <c r="AB46" t="s">
        <v>317</v>
      </c>
      <c r="AC46">
        <v>1</v>
      </c>
      <c r="AF46" t="s">
        <v>356</v>
      </c>
    </row>
    <row r="47" spans="1:32" x14ac:dyDescent="0.55000000000000004">
      <c r="A47" t="s">
        <v>241</v>
      </c>
      <c r="B47" t="s">
        <v>106</v>
      </c>
      <c r="C47" t="s">
        <v>38</v>
      </c>
      <c r="D47" s="2">
        <v>993</v>
      </c>
      <c r="E47" s="10">
        <v>14257</v>
      </c>
      <c r="F47" s="10">
        <f>444474/3</f>
        <v>148158</v>
      </c>
      <c r="G47" s="13">
        <v>40</v>
      </c>
      <c r="H47" t="s">
        <v>250</v>
      </c>
      <c r="I47" t="s">
        <v>170</v>
      </c>
      <c r="J47" t="s">
        <v>318</v>
      </c>
      <c r="K47" s="9">
        <v>0</v>
      </c>
      <c r="L47" s="9">
        <v>12</v>
      </c>
      <c r="M47">
        <v>46</v>
      </c>
      <c r="N47" s="6">
        <v>2</v>
      </c>
      <c r="O47" s="16">
        <f t="shared" si="0"/>
        <v>65.424300533333337</v>
      </c>
      <c r="P47" s="9">
        <v>63286</v>
      </c>
      <c r="Q47" s="10">
        <v>10</v>
      </c>
      <c r="AB47" t="s">
        <v>319</v>
      </c>
      <c r="AC47">
        <f>-5+8-1-14</f>
        <v>-12</v>
      </c>
      <c r="AF47" t="s">
        <v>359</v>
      </c>
    </row>
    <row r="48" spans="1:32" x14ac:dyDescent="0.55000000000000004">
      <c r="A48" t="s">
        <v>248</v>
      </c>
      <c r="B48" t="s">
        <v>107</v>
      </c>
      <c r="C48" t="s">
        <v>108</v>
      </c>
      <c r="D48" s="2">
        <v>3037</v>
      </c>
      <c r="E48" s="2">
        <v>252551</v>
      </c>
      <c r="F48" s="2">
        <v>401661</v>
      </c>
      <c r="G48" s="11">
        <v>54.56</v>
      </c>
      <c r="H48" t="s">
        <v>250</v>
      </c>
      <c r="I48" t="s">
        <v>260</v>
      </c>
      <c r="J48" t="s">
        <v>320</v>
      </c>
      <c r="K48" s="9">
        <v>12</v>
      </c>
      <c r="L48" s="9">
        <v>3</v>
      </c>
      <c r="M48">
        <v>47</v>
      </c>
      <c r="N48" s="6">
        <f>16/7</f>
        <v>2.2857142857142856</v>
      </c>
      <c r="O48" s="16">
        <f t="shared" si="0"/>
        <v>30.752602399999997</v>
      </c>
      <c r="P48" s="9">
        <v>64552</v>
      </c>
      <c r="Q48" s="10">
        <v>10</v>
      </c>
      <c r="AB48" t="s">
        <v>405</v>
      </c>
      <c r="AC48">
        <v>-6</v>
      </c>
      <c r="AF48" t="s">
        <v>349</v>
      </c>
    </row>
    <row r="49" spans="1:32" x14ac:dyDescent="0.55000000000000004">
      <c r="A49" t="s">
        <v>109</v>
      </c>
      <c r="B49" t="s">
        <v>110</v>
      </c>
      <c r="C49" t="s">
        <v>61</v>
      </c>
      <c r="D49" s="2">
        <v>3810</v>
      </c>
      <c r="E49" s="2">
        <v>298800</v>
      </c>
      <c r="F49" s="2">
        <f>1.7*2137406/2.3</f>
        <v>1579821.8260869565</v>
      </c>
      <c r="G49" s="11">
        <v>51.96</v>
      </c>
      <c r="H49" t="s">
        <v>265</v>
      </c>
      <c r="I49" t="s">
        <v>260</v>
      </c>
      <c r="J49" t="s">
        <v>300</v>
      </c>
      <c r="K49" s="3">
        <v>0</v>
      </c>
      <c r="L49" s="3">
        <v>24</v>
      </c>
      <c r="M49">
        <v>48</v>
      </c>
      <c r="N49" s="6">
        <v>2.2999999999999998</v>
      </c>
      <c r="O49" s="16">
        <f t="shared" si="0"/>
        <v>88.629418602401628</v>
      </c>
      <c r="P49" s="9">
        <v>60692</v>
      </c>
      <c r="Q49" s="10">
        <v>10</v>
      </c>
      <c r="AB49" t="s">
        <v>321</v>
      </c>
      <c r="AC49">
        <f>-3-1.5</f>
        <v>-4.5</v>
      </c>
      <c r="AF49" t="s">
        <v>338</v>
      </c>
    </row>
    <row r="50" spans="1:32" x14ac:dyDescent="0.55000000000000004">
      <c r="A50" t="s">
        <v>111</v>
      </c>
      <c r="B50" t="s">
        <v>85</v>
      </c>
      <c r="C50" t="s">
        <v>50</v>
      </c>
      <c r="D50" s="2">
        <v>3660</v>
      </c>
      <c r="E50" s="2">
        <v>2303482</v>
      </c>
      <c r="F50" s="2">
        <v>4944332</v>
      </c>
      <c r="G50" s="11">
        <v>61.11</v>
      </c>
      <c r="H50" t="s">
        <v>250</v>
      </c>
      <c r="I50" t="s">
        <v>255</v>
      </c>
      <c r="J50" t="s">
        <v>306</v>
      </c>
      <c r="K50" s="9">
        <v>12</v>
      </c>
      <c r="L50" s="9">
        <v>0</v>
      </c>
      <c r="M50">
        <v>49</v>
      </c>
      <c r="N50" s="6">
        <v>2</v>
      </c>
      <c r="O50" s="16">
        <f t="shared" si="0"/>
        <v>-5.0637159619047649</v>
      </c>
      <c r="P50" s="9">
        <v>63621</v>
      </c>
      <c r="Q50" s="10">
        <v>10</v>
      </c>
      <c r="AB50" t="s">
        <v>322</v>
      </c>
      <c r="AC50">
        <v>-14</v>
      </c>
      <c r="AF50" t="s">
        <v>357</v>
      </c>
    </row>
    <row r="51" spans="1:32" x14ac:dyDescent="0.55000000000000004">
      <c r="A51" t="s">
        <v>112</v>
      </c>
      <c r="B51" t="s">
        <v>113</v>
      </c>
      <c r="C51" t="s">
        <v>114</v>
      </c>
      <c r="D51" s="2">
        <v>11367</v>
      </c>
      <c r="E51" s="2">
        <v>693972</v>
      </c>
      <c r="F51" s="2">
        <f>1.7*6131977/2.3</f>
        <v>4532330.826086957</v>
      </c>
      <c r="G51" s="11">
        <v>88.32</v>
      </c>
      <c r="H51" t="s">
        <v>250</v>
      </c>
      <c r="I51" t="s">
        <v>170</v>
      </c>
      <c r="J51" t="s">
        <v>323</v>
      </c>
      <c r="K51" s="3">
        <v>18</v>
      </c>
      <c r="L51" s="3">
        <v>12</v>
      </c>
      <c r="M51">
        <v>50</v>
      </c>
      <c r="N51" s="6">
        <v>1.2</v>
      </c>
      <c r="O51" s="16">
        <f t="shared" si="0"/>
        <v>17.538295440165626</v>
      </c>
      <c r="P51" s="9">
        <v>65757</v>
      </c>
      <c r="Q51" s="10">
        <v>10</v>
      </c>
      <c r="AB51" t="s">
        <v>324</v>
      </c>
      <c r="AC51">
        <v>-4</v>
      </c>
      <c r="AF51" t="s">
        <v>349</v>
      </c>
    </row>
    <row r="52" spans="1:32" x14ac:dyDescent="0.55000000000000004">
      <c r="A52" t="s">
        <v>115</v>
      </c>
      <c r="B52" t="s">
        <v>116</v>
      </c>
      <c r="C52" t="s">
        <v>117</v>
      </c>
      <c r="D52" s="2">
        <v>1354</v>
      </c>
      <c r="E52" s="2">
        <v>481420</v>
      </c>
      <c r="F52" s="2">
        <v>1519417</v>
      </c>
      <c r="G52" s="11">
        <v>49.88</v>
      </c>
      <c r="H52" t="s">
        <v>265</v>
      </c>
      <c r="I52" t="s">
        <v>260</v>
      </c>
      <c r="J52" t="s">
        <v>306</v>
      </c>
      <c r="K52" s="9">
        <v>18</v>
      </c>
      <c r="L52" s="9">
        <v>0</v>
      </c>
      <c r="M52">
        <v>51</v>
      </c>
      <c r="N52" s="6">
        <v>2</v>
      </c>
      <c r="O52" s="16">
        <f t="shared" si="0"/>
        <v>19.162513912380955</v>
      </c>
      <c r="P52" s="9">
        <v>60636</v>
      </c>
      <c r="Q52" s="16">
        <v>10</v>
      </c>
      <c r="AF52" t="s">
        <v>338</v>
      </c>
    </row>
    <row r="53" spans="1:32" x14ac:dyDescent="0.55000000000000004">
      <c r="A53" t="s">
        <v>118</v>
      </c>
      <c r="B53" t="s">
        <v>119</v>
      </c>
      <c r="C53" t="s">
        <v>65</v>
      </c>
      <c r="D53" s="2">
        <v>1700</v>
      </c>
      <c r="E53" s="2">
        <v>242203</v>
      </c>
      <c r="F53" s="2">
        <f>1.7*667733/2.3</f>
        <v>493541.78260869562</v>
      </c>
      <c r="G53" s="13">
        <v>55</v>
      </c>
      <c r="H53" t="s">
        <v>250</v>
      </c>
      <c r="I53" t="s">
        <v>262</v>
      </c>
      <c r="J53" t="s">
        <v>326</v>
      </c>
      <c r="K53" s="9">
        <v>12</v>
      </c>
      <c r="L53" s="9">
        <v>12</v>
      </c>
      <c r="M53">
        <v>52</v>
      </c>
      <c r="N53" s="6">
        <v>2</v>
      </c>
      <c r="O53" s="16">
        <f t="shared" si="0"/>
        <v>21.461836957349902</v>
      </c>
      <c r="P53" s="9">
        <v>58630</v>
      </c>
      <c r="Q53" s="10">
        <v>85</v>
      </c>
      <c r="AB53" t="s">
        <v>327</v>
      </c>
      <c r="AC53">
        <f>-3-7*1.5</f>
        <v>-13.5</v>
      </c>
      <c r="AF53" t="s">
        <v>338</v>
      </c>
    </row>
    <row r="54" spans="1:32" x14ac:dyDescent="0.55000000000000004">
      <c r="A54" t="s">
        <v>120</v>
      </c>
      <c r="B54" t="s">
        <v>121</v>
      </c>
      <c r="C54" t="s">
        <v>26</v>
      </c>
      <c r="D54" s="2">
        <v>6436</v>
      </c>
      <c r="E54" s="2">
        <v>256902</v>
      </c>
      <c r="F54" s="2">
        <v>935906</v>
      </c>
      <c r="G54" s="11">
        <v>52.22</v>
      </c>
      <c r="H54" t="s">
        <v>250</v>
      </c>
      <c r="I54" t="s">
        <v>26</v>
      </c>
      <c r="J54" t="s">
        <v>300</v>
      </c>
      <c r="K54" s="9">
        <v>0</v>
      </c>
      <c r="L54" s="9">
        <v>24</v>
      </c>
      <c r="M54">
        <v>53</v>
      </c>
      <c r="N54" s="6">
        <v>2</v>
      </c>
      <c r="O54" s="16">
        <f t="shared" si="0"/>
        <v>91.034003733333321</v>
      </c>
      <c r="P54" s="9">
        <v>53750</v>
      </c>
      <c r="Q54" s="16">
        <v>10</v>
      </c>
      <c r="AB54" t="s">
        <v>325</v>
      </c>
      <c r="AC54">
        <v>-3</v>
      </c>
      <c r="AF54" t="s">
        <v>338</v>
      </c>
    </row>
    <row r="55" spans="1:32" x14ac:dyDescent="0.55000000000000004">
      <c r="A55" t="s">
        <v>122</v>
      </c>
      <c r="B55" t="s">
        <v>37</v>
      </c>
      <c r="C55" t="s">
        <v>38</v>
      </c>
      <c r="D55" s="2">
        <v>5483</v>
      </c>
      <c r="E55" s="2">
        <v>303625</v>
      </c>
      <c r="F55" s="2">
        <v>1733853</v>
      </c>
      <c r="G55" s="11">
        <v>61.77</v>
      </c>
      <c r="H55" t="s">
        <v>250</v>
      </c>
      <c r="I55" t="s">
        <v>170</v>
      </c>
      <c r="J55" t="s">
        <v>328</v>
      </c>
      <c r="K55" s="9">
        <v>0</v>
      </c>
      <c r="L55" s="9">
        <v>12</v>
      </c>
      <c r="M55">
        <v>54</v>
      </c>
      <c r="N55" s="6">
        <f>11/7</f>
        <v>1.5714285714285714</v>
      </c>
      <c r="O55" s="16">
        <f t="shared" si="0"/>
        <v>43.193592342857151</v>
      </c>
      <c r="P55" s="9">
        <v>59030</v>
      </c>
      <c r="Q55" s="16">
        <v>10</v>
      </c>
      <c r="AB55" t="s">
        <v>329</v>
      </c>
      <c r="AC55">
        <f>-10-3-3</f>
        <v>-16</v>
      </c>
      <c r="AF55" t="s">
        <v>338</v>
      </c>
    </row>
    <row r="56" spans="1:32" x14ac:dyDescent="0.55000000000000004">
      <c r="A56" t="s">
        <v>145</v>
      </c>
      <c r="B56" t="s">
        <v>78</v>
      </c>
      <c r="C56" t="s">
        <v>79</v>
      </c>
      <c r="D56" s="2">
        <v>11898</v>
      </c>
      <c r="E56" s="2">
        <v>2704598</v>
      </c>
      <c r="F56" s="2">
        <f>1.7*9512999/2.3</f>
        <v>7031347.0869565215</v>
      </c>
      <c r="G56" s="11">
        <v>72.13</v>
      </c>
      <c r="H56" t="s">
        <v>250</v>
      </c>
      <c r="I56" t="s">
        <v>260</v>
      </c>
      <c r="J56" t="s">
        <v>300</v>
      </c>
      <c r="K56" s="9">
        <v>0</v>
      </c>
      <c r="L56" s="9">
        <v>12</v>
      </c>
      <c r="M56">
        <v>55</v>
      </c>
      <c r="N56" s="6">
        <v>1.75</v>
      </c>
      <c r="O56" s="16">
        <f t="shared" si="0"/>
        <v>28.132877041821938</v>
      </c>
      <c r="P56" s="9">
        <v>60005</v>
      </c>
      <c r="Q56" s="10">
        <v>10</v>
      </c>
      <c r="AB56" t="s">
        <v>330</v>
      </c>
      <c r="AC56">
        <v>-3</v>
      </c>
      <c r="AF56" t="s">
        <v>349</v>
      </c>
    </row>
    <row r="57" spans="1:32" x14ac:dyDescent="0.55000000000000004">
      <c r="A57" t="s">
        <v>123</v>
      </c>
      <c r="B57" t="s">
        <v>331</v>
      </c>
      <c r="C57" t="s">
        <v>124</v>
      </c>
      <c r="D57" s="2">
        <v>4520</v>
      </c>
      <c r="E57" s="2">
        <v>704621</v>
      </c>
      <c r="F57" s="2">
        <v>2374203</v>
      </c>
      <c r="G57" s="11">
        <v>69.22</v>
      </c>
      <c r="H57" t="s">
        <v>265</v>
      </c>
      <c r="I57" t="s">
        <v>332</v>
      </c>
      <c r="J57" t="s">
        <v>306</v>
      </c>
      <c r="K57" s="9">
        <v>12</v>
      </c>
      <c r="L57" s="9">
        <v>0</v>
      </c>
      <c r="M57">
        <v>56</v>
      </c>
      <c r="N57" s="6">
        <v>2.2000000000000002</v>
      </c>
      <c r="O57" s="16">
        <f t="shared" si="0"/>
        <v>28.492623211428569</v>
      </c>
      <c r="P57" s="9">
        <v>63974</v>
      </c>
      <c r="Q57" s="10">
        <v>10</v>
      </c>
      <c r="AF57" t="s">
        <v>338</v>
      </c>
    </row>
    <row r="58" spans="1:32" x14ac:dyDescent="0.55000000000000004">
      <c r="A58" t="s">
        <v>125</v>
      </c>
      <c r="B58" t="s">
        <v>78</v>
      </c>
      <c r="C58" t="s">
        <v>79</v>
      </c>
      <c r="D58" s="2">
        <v>11898</v>
      </c>
      <c r="E58" s="2">
        <v>2704598</v>
      </c>
      <c r="F58" s="2">
        <f>1.7*9512999/2.3</f>
        <v>7031347.0869565215</v>
      </c>
      <c r="G58" s="11">
        <v>72.13</v>
      </c>
      <c r="H58" t="s">
        <v>265</v>
      </c>
      <c r="I58" t="s">
        <v>260</v>
      </c>
      <c r="J58" t="s">
        <v>300</v>
      </c>
      <c r="K58" s="9">
        <v>0</v>
      </c>
      <c r="L58" s="9">
        <v>20</v>
      </c>
      <c r="M58">
        <v>57</v>
      </c>
      <c r="N58" s="6">
        <v>1.5</v>
      </c>
      <c r="O58" s="16">
        <f t="shared" si="0"/>
        <v>64.702085357846784</v>
      </c>
      <c r="P58" s="9">
        <v>64209</v>
      </c>
      <c r="Q58" s="10">
        <v>10</v>
      </c>
      <c r="AF58" t="s">
        <v>349</v>
      </c>
    </row>
    <row r="59" spans="1:32" x14ac:dyDescent="0.55000000000000004">
      <c r="A59" t="s">
        <v>126</v>
      </c>
      <c r="B59" t="s">
        <v>127</v>
      </c>
      <c r="C59" t="s">
        <v>128</v>
      </c>
      <c r="D59" s="2">
        <v>11458</v>
      </c>
      <c r="E59" s="10">
        <f>(8622698+281764*2)/3</f>
        <v>3062075.3333333335</v>
      </c>
      <c r="F59" s="10">
        <f>8622698*2+281764</f>
        <v>17527160</v>
      </c>
      <c r="G59" s="11">
        <v>55.2</v>
      </c>
      <c r="H59" t="s">
        <v>265</v>
      </c>
      <c r="I59" t="s">
        <v>170</v>
      </c>
      <c r="J59" t="s">
        <v>300</v>
      </c>
      <c r="K59" s="3">
        <v>0</v>
      </c>
      <c r="L59" s="3">
        <v>12</v>
      </c>
      <c r="M59">
        <v>58</v>
      </c>
      <c r="N59" s="6">
        <v>1.5</v>
      </c>
      <c r="O59" s="16">
        <f t="shared" si="0"/>
        <v>36.527290196825412</v>
      </c>
      <c r="P59" s="9">
        <v>64486</v>
      </c>
      <c r="Q59" s="10">
        <v>10</v>
      </c>
      <c r="AF59" t="s">
        <v>358</v>
      </c>
    </row>
    <row r="60" spans="1:32" x14ac:dyDescent="0.55000000000000004">
      <c r="A60" t="s">
        <v>333</v>
      </c>
      <c r="B60" t="s">
        <v>334</v>
      </c>
      <c r="C60" t="s">
        <v>26</v>
      </c>
      <c r="D60" s="2">
        <v>21638</v>
      </c>
      <c r="E60" s="10">
        <f>(8622698+2358582*2)/3</f>
        <v>4446620.666666667</v>
      </c>
      <c r="F60" s="10">
        <f>8622698*2+2358582</f>
        <v>19603978</v>
      </c>
      <c r="G60" s="13">
        <v>100</v>
      </c>
      <c r="H60" t="s">
        <v>265</v>
      </c>
      <c r="I60" t="s">
        <v>26</v>
      </c>
      <c r="J60" t="s">
        <v>335</v>
      </c>
      <c r="K60" s="9">
        <v>12</v>
      </c>
      <c r="L60" s="9">
        <v>12</v>
      </c>
      <c r="M60">
        <v>59</v>
      </c>
      <c r="N60" s="6">
        <v>2</v>
      </c>
      <c r="O60" s="16">
        <f t="shared" si="0"/>
        <v>-11.856681328253977</v>
      </c>
      <c r="P60" s="9">
        <v>76286</v>
      </c>
      <c r="Q60" s="10">
        <v>10</v>
      </c>
      <c r="AB60" t="s">
        <v>336</v>
      </c>
      <c r="AC60">
        <f>-13-5*1.5</f>
        <v>-20.5</v>
      </c>
      <c r="AF60" t="s">
        <v>349</v>
      </c>
    </row>
    <row r="61" spans="1:32" x14ac:dyDescent="0.55000000000000004">
      <c r="A61" t="s">
        <v>129</v>
      </c>
      <c r="B61" t="s">
        <v>34</v>
      </c>
      <c r="C61" t="s">
        <v>35</v>
      </c>
      <c r="D61" s="2">
        <v>13903</v>
      </c>
      <c r="E61" s="2">
        <v>687584</v>
      </c>
      <c r="F61" s="2">
        <v>4180000</v>
      </c>
      <c r="G61" s="11">
        <v>83.7</v>
      </c>
      <c r="H61" t="s">
        <v>250</v>
      </c>
      <c r="I61" t="s">
        <v>170</v>
      </c>
      <c r="J61" t="s">
        <v>362</v>
      </c>
      <c r="K61" s="9">
        <v>0</v>
      </c>
      <c r="L61" s="9">
        <v>12</v>
      </c>
      <c r="M61">
        <v>60</v>
      </c>
      <c r="N61" s="6">
        <v>1</v>
      </c>
      <c r="O61" s="16">
        <f t="shared" si="0"/>
        <v>31.838506666666667</v>
      </c>
      <c r="P61" s="3">
        <v>62092</v>
      </c>
      <c r="Q61" s="10">
        <v>10</v>
      </c>
      <c r="AB61" t="s">
        <v>361</v>
      </c>
      <c r="AC61">
        <f>-3-10</f>
        <v>-13</v>
      </c>
      <c r="AF61" t="s">
        <v>360</v>
      </c>
    </row>
    <row r="62" spans="1:32" x14ac:dyDescent="0.55000000000000004">
      <c r="A62" t="s">
        <v>130</v>
      </c>
      <c r="B62" t="s">
        <v>131</v>
      </c>
      <c r="C62" t="s">
        <v>132</v>
      </c>
      <c r="D62" s="2">
        <v>6500</v>
      </c>
      <c r="E62" s="2">
        <v>129934</v>
      </c>
      <c r="F62" s="2">
        <f>1.7*862477/2.3</f>
        <v>637483</v>
      </c>
      <c r="G62" s="11">
        <v>72</v>
      </c>
      <c r="H62" t="s">
        <v>250</v>
      </c>
      <c r="I62" t="s">
        <v>170</v>
      </c>
      <c r="J62" t="s">
        <v>363</v>
      </c>
      <c r="K62" s="9">
        <v>0</v>
      </c>
      <c r="L62" s="9">
        <v>24</v>
      </c>
      <c r="M62">
        <v>61</v>
      </c>
      <c r="N62" s="6">
        <v>2</v>
      </c>
      <c r="O62" s="16">
        <f t="shared" si="0"/>
        <v>102.40761005714285</v>
      </c>
      <c r="P62" s="9">
        <v>72570</v>
      </c>
      <c r="Q62" s="16">
        <v>10</v>
      </c>
      <c r="AB62" t="s">
        <v>465</v>
      </c>
      <c r="AC62">
        <f>8+0+4-3</f>
        <v>9</v>
      </c>
      <c r="AF62" t="s">
        <v>338</v>
      </c>
    </row>
    <row r="63" spans="1:32" x14ac:dyDescent="0.55000000000000004">
      <c r="A63" t="s">
        <v>133</v>
      </c>
      <c r="B63" t="s">
        <v>134</v>
      </c>
      <c r="C63" t="s">
        <v>26</v>
      </c>
      <c r="D63" s="2">
        <v>5885</v>
      </c>
      <c r="E63" s="2">
        <v>208880</v>
      </c>
      <c r="F63" s="2">
        <v>720572</v>
      </c>
      <c r="G63" s="11">
        <v>50.59</v>
      </c>
      <c r="H63" t="s">
        <v>265</v>
      </c>
      <c r="I63" t="s">
        <v>26</v>
      </c>
      <c r="J63" t="s">
        <v>364</v>
      </c>
      <c r="K63" s="3">
        <v>0</v>
      </c>
      <c r="L63" s="3">
        <v>12</v>
      </c>
      <c r="M63">
        <v>62</v>
      </c>
      <c r="N63" s="6">
        <v>2</v>
      </c>
      <c r="O63" s="16">
        <f t="shared" si="0"/>
        <v>86.496405074285704</v>
      </c>
      <c r="P63" s="9">
        <v>63232</v>
      </c>
      <c r="Q63" s="10">
        <v>10</v>
      </c>
      <c r="R63" s="16">
        <v>7</v>
      </c>
      <c r="AB63" t="s">
        <v>373</v>
      </c>
      <c r="AC63">
        <f>0-3</f>
        <v>-3</v>
      </c>
      <c r="AD63" t="s">
        <v>444</v>
      </c>
      <c r="AE63">
        <f>5+3</f>
        <v>8</v>
      </c>
      <c r="AF63" t="s">
        <v>365</v>
      </c>
    </row>
    <row r="64" spans="1:32" x14ac:dyDescent="0.55000000000000004">
      <c r="A64" t="s">
        <v>135</v>
      </c>
      <c r="B64" t="s">
        <v>136</v>
      </c>
      <c r="C64" t="s">
        <v>47</v>
      </c>
      <c r="D64" s="2">
        <v>2311</v>
      </c>
      <c r="E64" s="2">
        <v>391495</v>
      </c>
      <c r="F64" s="2">
        <f>1.7*1262888/2.3</f>
        <v>933438.95652173925</v>
      </c>
      <c r="G64" s="11">
        <v>61.25</v>
      </c>
      <c r="H64" t="s">
        <v>265</v>
      </c>
      <c r="I64" t="s">
        <v>262</v>
      </c>
      <c r="J64" t="s">
        <v>366</v>
      </c>
      <c r="K64" s="3">
        <v>0</v>
      </c>
      <c r="L64" s="3">
        <v>0</v>
      </c>
      <c r="M64">
        <v>63</v>
      </c>
      <c r="N64" s="6">
        <v>1.5</v>
      </c>
      <c r="O64" s="16">
        <f t="shared" si="0"/>
        <v>36.998893606790894</v>
      </c>
      <c r="P64" s="9">
        <v>55621</v>
      </c>
      <c r="Q64" s="10">
        <v>10</v>
      </c>
      <c r="AB64" t="s">
        <v>367</v>
      </c>
      <c r="AF64" t="s">
        <v>338</v>
      </c>
    </row>
    <row r="65" spans="1:32" x14ac:dyDescent="0.55000000000000004">
      <c r="A65" t="s">
        <v>137</v>
      </c>
      <c r="B65" t="s">
        <v>23</v>
      </c>
      <c r="C65" t="s">
        <v>24</v>
      </c>
      <c r="D65" s="2">
        <v>7561</v>
      </c>
      <c r="E65" s="2">
        <v>611648</v>
      </c>
      <c r="F65" s="2">
        <v>2203663</v>
      </c>
      <c r="G65" s="11">
        <v>65.67</v>
      </c>
      <c r="H65" t="s">
        <v>250</v>
      </c>
      <c r="I65" t="s">
        <v>170</v>
      </c>
      <c r="J65" t="s">
        <v>369</v>
      </c>
      <c r="K65" s="9">
        <v>0</v>
      </c>
      <c r="L65" s="3">
        <v>18</v>
      </c>
      <c r="M65">
        <v>64</v>
      </c>
      <c r="N65" s="6">
        <v>2</v>
      </c>
      <c r="O65" s="16">
        <f t="shared" si="0"/>
        <v>59.480857295238089</v>
      </c>
      <c r="P65" s="9">
        <v>61245</v>
      </c>
      <c r="Q65" s="16">
        <v>10</v>
      </c>
      <c r="AB65" t="s">
        <v>368</v>
      </c>
      <c r="AC65">
        <f>-6</f>
        <v>-6</v>
      </c>
      <c r="AF65" t="s">
        <v>358</v>
      </c>
    </row>
    <row r="66" spans="1:32" x14ac:dyDescent="0.55000000000000004">
      <c r="A66" t="s">
        <v>138</v>
      </c>
      <c r="B66" t="s">
        <v>139</v>
      </c>
      <c r="C66" t="s">
        <v>22</v>
      </c>
      <c r="D66" s="2">
        <v>4326</v>
      </c>
      <c r="E66" s="2">
        <v>1406630</v>
      </c>
      <c r="F66" s="2">
        <v>2956746</v>
      </c>
      <c r="G66" s="11">
        <v>70.08</v>
      </c>
      <c r="H66" t="s">
        <v>250</v>
      </c>
      <c r="I66" t="s">
        <v>270</v>
      </c>
      <c r="J66" t="s">
        <v>300</v>
      </c>
      <c r="K66" s="9">
        <v>0</v>
      </c>
      <c r="L66" s="9">
        <v>24</v>
      </c>
      <c r="M66">
        <v>65</v>
      </c>
      <c r="N66" s="6">
        <v>2</v>
      </c>
      <c r="O66" s="16">
        <f t="shared" si="0"/>
        <v>69.975520685714272</v>
      </c>
      <c r="P66" s="9">
        <v>62132</v>
      </c>
      <c r="Q66" s="10">
        <v>10</v>
      </c>
      <c r="AF66" t="s">
        <v>338</v>
      </c>
    </row>
    <row r="67" spans="1:32" x14ac:dyDescent="0.55000000000000004">
      <c r="A67" t="s">
        <v>229</v>
      </c>
      <c r="B67" t="s">
        <v>136</v>
      </c>
      <c r="C67" t="s">
        <v>47</v>
      </c>
      <c r="D67" s="2">
        <v>2311</v>
      </c>
      <c r="E67" s="2">
        <v>391495</v>
      </c>
      <c r="F67" s="2">
        <f>1.7*1262888/2.3</f>
        <v>933438.95652173925</v>
      </c>
      <c r="G67" s="11">
        <v>61.25</v>
      </c>
      <c r="H67" t="s">
        <v>250</v>
      </c>
      <c r="I67" t="s">
        <v>262</v>
      </c>
      <c r="J67" t="s">
        <v>306</v>
      </c>
      <c r="K67" s="9">
        <v>12</v>
      </c>
      <c r="L67" s="9">
        <v>0</v>
      </c>
      <c r="M67">
        <v>66</v>
      </c>
      <c r="N67" s="6">
        <v>1.5</v>
      </c>
      <c r="O67" s="16">
        <f t="shared" ref="O67:O105" si="1">40+10-(IF(H67="N",0.4,1))*(IF(H67="residential",0.7,1))*((D67/750+E67/60000+F67/250000)/2.5)+1-(IF(H67="N",0.4,1))*(IF(H67="residential",0.7,1))*(G67-50)/3+(P67-58000)/1000-K67*1.5+L67*2-(IF(NOT(ISNUMBER(SEARCH("spine",J67))),L67*5/6,0))+6-N67*3+25/7-M67/7+AC67+AE67+10/3-Q67/6+(IF(I67="WA", 18, 0))+(IF(I67="OR", 15, 0))+(IF(I67="NY", 9, 0))+(IF(I67="NoCal", 2, 0))+(IF(I67="Rockies", 5, 0))+(IF(I67="SoCal", -6, 0))+(IF(I67="SE", -3, 0))+(IF(I67="SW", 1, 0))+(IF(I67="NE", -4, 0))+(IF(I67="Midwest", -1, 0))</f>
        <v>2.1238548124223655</v>
      </c>
      <c r="P67" s="9">
        <v>57567</v>
      </c>
      <c r="Q67" s="16">
        <v>50</v>
      </c>
      <c r="AB67" t="s">
        <v>370</v>
      </c>
      <c r="AC67">
        <v>-9</v>
      </c>
      <c r="AF67" t="s">
        <v>338</v>
      </c>
    </row>
    <row r="68" spans="1:32" x14ac:dyDescent="0.55000000000000004">
      <c r="A68" t="s">
        <v>140</v>
      </c>
      <c r="B68" t="s">
        <v>141</v>
      </c>
      <c r="C68" t="s">
        <v>142</v>
      </c>
      <c r="D68" s="2">
        <v>2916</v>
      </c>
      <c r="E68" s="2">
        <v>30855</v>
      </c>
      <c r="F68" s="2">
        <v>70350</v>
      </c>
      <c r="G68" s="13">
        <v>60</v>
      </c>
      <c r="H68" t="s">
        <v>250</v>
      </c>
      <c r="I68" t="s">
        <v>170</v>
      </c>
      <c r="J68" t="s">
        <v>376</v>
      </c>
      <c r="K68" s="9">
        <v>0</v>
      </c>
      <c r="L68" s="9">
        <v>18</v>
      </c>
      <c r="M68">
        <v>67</v>
      </c>
      <c r="N68" s="6">
        <v>1</v>
      </c>
      <c r="O68" s="16">
        <f t="shared" si="1"/>
        <v>44.269873333333337</v>
      </c>
      <c r="P68" s="9">
        <v>59810</v>
      </c>
      <c r="Q68" s="16">
        <v>10</v>
      </c>
      <c r="AB68" t="s">
        <v>377</v>
      </c>
      <c r="AC68">
        <f>-6*1.5-5-5</f>
        <v>-19</v>
      </c>
      <c r="AF68" t="s">
        <v>349</v>
      </c>
    </row>
    <row r="69" spans="1:32" x14ac:dyDescent="0.55000000000000004">
      <c r="A69" t="s">
        <v>143</v>
      </c>
      <c r="B69" t="s">
        <v>144</v>
      </c>
      <c r="C69" t="s">
        <v>79</v>
      </c>
      <c r="D69" s="2">
        <v>2369</v>
      </c>
      <c r="E69" s="2">
        <v>114265</v>
      </c>
      <c r="F69" s="2">
        <f>1.7*373590/2.3</f>
        <v>276131.73913043481</v>
      </c>
      <c r="G69" s="13">
        <v>60</v>
      </c>
      <c r="H69" t="s">
        <v>250</v>
      </c>
      <c r="I69" t="s">
        <v>260</v>
      </c>
      <c r="J69" t="s">
        <v>366</v>
      </c>
      <c r="K69" s="3">
        <v>12</v>
      </c>
      <c r="L69" s="3">
        <v>12</v>
      </c>
      <c r="M69">
        <v>68</v>
      </c>
      <c r="N69" s="6">
        <v>2.5</v>
      </c>
      <c r="O69" s="16">
        <f t="shared" si="1"/>
        <v>19.633432074534156</v>
      </c>
      <c r="P69" s="9">
        <v>60910</v>
      </c>
      <c r="Q69" s="16">
        <v>10</v>
      </c>
      <c r="AB69" t="s">
        <v>379</v>
      </c>
      <c r="AC69">
        <f>-2-7*1.5-5</f>
        <v>-17.5</v>
      </c>
      <c r="AF69" t="s">
        <v>338</v>
      </c>
    </row>
    <row r="70" spans="1:32" x14ac:dyDescent="0.55000000000000004">
      <c r="A70" t="s">
        <v>237</v>
      </c>
      <c r="B70" t="s">
        <v>146</v>
      </c>
      <c r="C70" t="s">
        <v>26</v>
      </c>
      <c r="D70" s="2">
        <v>35028</v>
      </c>
      <c r="E70" s="10">
        <f>(8622698+1471160*2)/3</f>
        <v>3855006</v>
      </c>
      <c r="F70" s="10">
        <f>8622698*2+1471160</f>
        <v>18716556</v>
      </c>
      <c r="G70" s="13">
        <v>100</v>
      </c>
      <c r="H70" t="s">
        <v>250</v>
      </c>
      <c r="I70" t="s">
        <v>26</v>
      </c>
      <c r="J70" t="s">
        <v>380</v>
      </c>
      <c r="K70" s="9">
        <v>0</v>
      </c>
      <c r="L70" s="9">
        <v>12</v>
      </c>
      <c r="M70">
        <v>69</v>
      </c>
      <c r="N70" s="6">
        <v>1.5</v>
      </c>
      <c r="O70" s="16">
        <f t="shared" si="1"/>
        <v>1.7291561142856979</v>
      </c>
      <c r="P70" s="3">
        <v>67843</v>
      </c>
      <c r="Q70" s="16">
        <v>10</v>
      </c>
      <c r="AB70" t="s">
        <v>381</v>
      </c>
      <c r="AC70">
        <v>2</v>
      </c>
      <c r="AF70" t="s">
        <v>338</v>
      </c>
    </row>
    <row r="71" spans="1:32" x14ac:dyDescent="0.55000000000000004">
      <c r="A71" t="s">
        <v>244</v>
      </c>
      <c r="B71" t="s">
        <v>147</v>
      </c>
      <c r="C71" t="s">
        <v>50</v>
      </c>
      <c r="D71" s="2">
        <v>3242</v>
      </c>
      <c r="E71" s="2">
        <v>1492510</v>
      </c>
      <c r="F71" s="2">
        <f>1.7*2473974/2.3</f>
        <v>1828589.4782608696</v>
      </c>
      <c r="G71" s="11">
        <v>49.33</v>
      </c>
      <c r="H71" t="s">
        <v>265</v>
      </c>
      <c r="I71" t="s">
        <v>255</v>
      </c>
      <c r="J71" t="s">
        <v>306</v>
      </c>
      <c r="K71" s="9">
        <v>12</v>
      </c>
      <c r="L71" s="9">
        <v>0</v>
      </c>
      <c r="M71">
        <v>70</v>
      </c>
      <c r="N71" s="6">
        <f>16/7</f>
        <v>2.2857142857142856</v>
      </c>
      <c r="O71" s="16">
        <f t="shared" si="1"/>
        <v>18.982872165300208</v>
      </c>
      <c r="P71" s="9">
        <v>56669</v>
      </c>
      <c r="Q71" s="10">
        <v>10</v>
      </c>
      <c r="AB71" t="s">
        <v>382</v>
      </c>
      <c r="AC71">
        <v>2</v>
      </c>
      <c r="AF71" t="s">
        <v>338</v>
      </c>
    </row>
    <row r="72" spans="1:32" x14ac:dyDescent="0.55000000000000004">
      <c r="A72" t="s">
        <v>148</v>
      </c>
      <c r="B72" t="s">
        <v>149</v>
      </c>
      <c r="C72" t="s">
        <v>150</v>
      </c>
      <c r="D72" s="2">
        <v>4122</v>
      </c>
      <c r="E72" s="2">
        <v>43552</v>
      </c>
      <c r="F72" s="2">
        <v>108740</v>
      </c>
      <c r="G72" s="11">
        <v>64.23</v>
      </c>
      <c r="H72" t="s">
        <v>250</v>
      </c>
      <c r="I72" t="s">
        <v>170</v>
      </c>
      <c r="J72" t="s">
        <v>386</v>
      </c>
      <c r="K72" s="9">
        <v>0</v>
      </c>
      <c r="L72" s="9">
        <v>12</v>
      </c>
      <c r="M72">
        <v>71</v>
      </c>
      <c r="N72" s="6">
        <v>1</v>
      </c>
      <c r="O72" s="16">
        <f t="shared" si="1"/>
        <v>43.364174095238099</v>
      </c>
      <c r="P72" s="9">
        <v>64175</v>
      </c>
      <c r="Q72" s="10">
        <v>10</v>
      </c>
      <c r="AB72" t="s">
        <v>383</v>
      </c>
      <c r="AC72">
        <f>-4-18+1.5-4</f>
        <v>-24.5</v>
      </c>
      <c r="AF72" t="s">
        <v>385</v>
      </c>
    </row>
    <row r="73" spans="1:32" x14ac:dyDescent="0.55000000000000004">
      <c r="A73" t="s">
        <v>151</v>
      </c>
      <c r="B73" t="s">
        <v>152</v>
      </c>
      <c r="C73" t="s">
        <v>65</v>
      </c>
      <c r="D73" s="2">
        <v>2500</v>
      </c>
      <c r="E73" s="2">
        <v>842051</v>
      </c>
      <c r="F73" s="2">
        <v>1249442</v>
      </c>
      <c r="G73" s="11">
        <v>58.74</v>
      </c>
      <c r="H73" t="s">
        <v>265</v>
      </c>
      <c r="I73" t="s">
        <v>262</v>
      </c>
      <c r="J73" t="s">
        <v>300</v>
      </c>
      <c r="K73" s="9">
        <v>0</v>
      </c>
      <c r="L73" s="3">
        <v>12</v>
      </c>
      <c r="M73">
        <v>72</v>
      </c>
      <c r="N73" s="6">
        <v>1</v>
      </c>
      <c r="O73" s="16">
        <f t="shared" si="1"/>
        <v>67.896767912380938</v>
      </c>
      <c r="P73" s="9">
        <v>68246</v>
      </c>
      <c r="Q73" s="10">
        <v>10</v>
      </c>
      <c r="AB73" t="s">
        <v>387</v>
      </c>
      <c r="AC73">
        <f>2-8+4-2</f>
        <v>-4</v>
      </c>
      <c r="AF73" t="s">
        <v>388</v>
      </c>
    </row>
    <row r="74" spans="1:32" x14ac:dyDescent="0.55000000000000004">
      <c r="A74" t="s">
        <v>153</v>
      </c>
      <c r="B74" t="s">
        <v>154</v>
      </c>
      <c r="C74" t="s">
        <v>42</v>
      </c>
      <c r="D74" s="2">
        <v>3713</v>
      </c>
      <c r="E74" s="2">
        <v>223170</v>
      </c>
      <c r="F74" s="2">
        <f>1.7*1260029/2.3</f>
        <v>931325.78260869568</v>
      </c>
      <c r="G74" s="13">
        <v>76.5</v>
      </c>
      <c r="H74" t="s">
        <v>250</v>
      </c>
      <c r="I74" t="s">
        <v>170</v>
      </c>
      <c r="J74" t="s">
        <v>300</v>
      </c>
      <c r="K74" s="3">
        <v>0</v>
      </c>
      <c r="L74" s="3">
        <v>12</v>
      </c>
      <c r="M74">
        <v>73</v>
      </c>
      <c r="N74" s="6">
        <v>2</v>
      </c>
      <c r="O74" s="16">
        <f t="shared" si="1"/>
        <v>52.366002557349887</v>
      </c>
      <c r="P74" s="9">
        <v>60348</v>
      </c>
      <c r="Q74" s="10">
        <v>10</v>
      </c>
      <c r="AB74" t="s">
        <v>394</v>
      </c>
      <c r="AC74">
        <f>0-3+1</f>
        <v>-2</v>
      </c>
      <c r="AF74" t="s">
        <v>338</v>
      </c>
    </row>
    <row r="75" spans="1:32" x14ac:dyDescent="0.55000000000000004">
      <c r="A75" t="s">
        <v>155</v>
      </c>
      <c r="B75" t="s">
        <v>156</v>
      </c>
      <c r="C75" t="s">
        <v>157</v>
      </c>
      <c r="D75" s="2">
        <v>1043</v>
      </c>
      <c r="E75" s="2">
        <v>318449</v>
      </c>
      <c r="F75" s="2">
        <v>290263</v>
      </c>
      <c r="G75" s="13">
        <v>43</v>
      </c>
      <c r="H75" t="s">
        <v>250</v>
      </c>
      <c r="I75" t="s">
        <v>260</v>
      </c>
      <c r="J75" t="s">
        <v>395</v>
      </c>
      <c r="K75" s="9">
        <v>6</v>
      </c>
      <c r="L75" s="9">
        <v>12</v>
      </c>
      <c r="M75">
        <v>74</v>
      </c>
      <c r="N75" s="6">
        <v>2</v>
      </c>
      <c r="O75" s="16">
        <f t="shared" si="1"/>
        <v>41.830319200000005</v>
      </c>
      <c r="P75" s="9">
        <v>56974</v>
      </c>
      <c r="Q75" s="10">
        <v>10</v>
      </c>
      <c r="AB75" t="s">
        <v>396</v>
      </c>
      <c r="AC75">
        <v>-6</v>
      </c>
      <c r="AF75" t="s">
        <v>397</v>
      </c>
    </row>
    <row r="76" spans="1:32" x14ac:dyDescent="0.55000000000000004">
      <c r="A76" t="s">
        <v>234</v>
      </c>
      <c r="B76" t="s">
        <v>158</v>
      </c>
      <c r="C76" t="s">
        <v>45</v>
      </c>
      <c r="D76" s="2">
        <v>5000</v>
      </c>
      <c r="E76" s="2">
        <v>672795</v>
      </c>
      <c r="F76" s="2">
        <v>3734090</v>
      </c>
      <c r="G76" s="11">
        <v>57.79</v>
      </c>
      <c r="H76" t="s">
        <v>265</v>
      </c>
      <c r="I76" t="s">
        <v>260</v>
      </c>
      <c r="J76" t="s">
        <v>306</v>
      </c>
      <c r="K76" s="9">
        <v>11</v>
      </c>
      <c r="L76" s="9">
        <v>0</v>
      </c>
      <c r="M76">
        <v>75</v>
      </c>
      <c r="N76" s="6">
        <v>2</v>
      </c>
      <c r="O76" s="16">
        <f t="shared" si="1"/>
        <v>18.70458539047619</v>
      </c>
      <c r="P76" s="9">
        <v>61187</v>
      </c>
      <c r="Q76" s="10">
        <v>10</v>
      </c>
      <c r="AB76" t="s">
        <v>398</v>
      </c>
      <c r="AC76">
        <v>-1.5</v>
      </c>
      <c r="AF76" t="s">
        <v>338</v>
      </c>
    </row>
    <row r="77" spans="1:32" x14ac:dyDescent="0.55000000000000004">
      <c r="A77" t="s">
        <v>159</v>
      </c>
      <c r="B77" t="s">
        <v>160</v>
      </c>
      <c r="C77" t="s">
        <v>108</v>
      </c>
      <c r="D77" s="2">
        <v>6191</v>
      </c>
      <c r="E77" s="2">
        <v>595047</v>
      </c>
      <c r="F77" s="2">
        <v>1376476</v>
      </c>
      <c r="G77" s="11">
        <v>56.46</v>
      </c>
      <c r="H77" t="s">
        <v>250</v>
      </c>
      <c r="I77" t="s">
        <v>260</v>
      </c>
      <c r="J77" t="s">
        <v>306</v>
      </c>
      <c r="K77" s="9">
        <v>12</v>
      </c>
      <c r="L77" s="9">
        <v>0</v>
      </c>
      <c r="M77">
        <v>76</v>
      </c>
      <c r="N77" s="6">
        <v>1.75</v>
      </c>
      <c r="O77" s="16">
        <f t="shared" si="1"/>
        <v>19.077410780952373</v>
      </c>
      <c r="P77" s="9">
        <v>64571</v>
      </c>
      <c r="Q77" s="16">
        <v>10</v>
      </c>
      <c r="AB77" t="s">
        <v>401</v>
      </c>
      <c r="AC77">
        <v>-3</v>
      </c>
      <c r="AF77" t="s">
        <v>338</v>
      </c>
    </row>
    <row r="78" spans="1:32" x14ac:dyDescent="0.55000000000000004">
      <c r="A78" t="s">
        <v>161</v>
      </c>
      <c r="B78" t="s">
        <v>162</v>
      </c>
      <c r="C78" t="s">
        <v>26</v>
      </c>
      <c r="D78" s="2">
        <v>5725</v>
      </c>
      <c r="E78" s="2">
        <v>143378</v>
      </c>
      <c r="F78" s="2">
        <f>1.7*662577/2.3</f>
        <v>489730.82608695654</v>
      </c>
      <c r="G78" s="11">
        <v>52.23</v>
      </c>
      <c r="H78" t="s">
        <v>250</v>
      </c>
      <c r="I78" t="s">
        <v>26</v>
      </c>
      <c r="J78" t="s">
        <v>306</v>
      </c>
      <c r="K78" s="9">
        <v>21</v>
      </c>
      <c r="L78" s="9">
        <v>0</v>
      </c>
      <c r="M78">
        <v>77</v>
      </c>
      <c r="N78" s="6">
        <v>1.5</v>
      </c>
      <c r="O78" s="16">
        <f t="shared" si="1"/>
        <v>19.035005916356113</v>
      </c>
      <c r="P78" s="9">
        <v>58333</v>
      </c>
      <c r="Q78" s="10">
        <v>10</v>
      </c>
      <c r="AF78" t="s">
        <v>338</v>
      </c>
    </row>
    <row r="79" spans="1:32" x14ac:dyDescent="0.55000000000000004">
      <c r="A79" t="s">
        <v>163</v>
      </c>
      <c r="B79" t="s">
        <v>164</v>
      </c>
      <c r="C79" t="s">
        <v>33</v>
      </c>
      <c r="D79" s="2">
        <v>654</v>
      </c>
      <c r="E79" s="2">
        <v>197081</v>
      </c>
      <c r="F79" s="2">
        <v>386787</v>
      </c>
      <c r="G79" s="13">
        <f>197*16/305+44</f>
        <v>54.334426229508196</v>
      </c>
      <c r="H79" t="s">
        <v>250</v>
      </c>
      <c r="I79" t="s">
        <v>262</v>
      </c>
      <c r="J79" t="s">
        <v>300</v>
      </c>
      <c r="K79" s="9">
        <v>0</v>
      </c>
      <c r="L79" s="9">
        <v>12</v>
      </c>
      <c r="M79">
        <v>78</v>
      </c>
      <c r="N79" s="6">
        <v>1</v>
      </c>
      <c r="O79" s="16">
        <f t="shared" si="1"/>
        <v>60.113896818735363</v>
      </c>
      <c r="P79" s="9">
        <v>56745</v>
      </c>
      <c r="Q79" s="16">
        <v>10</v>
      </c>
      <c r="AB79" t="s">
        <v>402</v>
      </c>
      <c r="AC79">
        <v>-4</v>
      </c>
      <c r="AF79" t="s">
        <v>338</v>
      </c>
    </row>
    <row r="80" spans="1:32" x14ac:dyDescent="0.55000000000000004">
      <c r="A80" t="s">
        <v>165</v>
      </c>
      <c r="B80" t="s">
        <v>166</v>
      </c>
      <c r="C80" t="s">
        <v>167</v>
      </c>
      <c r="D80" s="2">
        <v>2900</v>
      </c>
      <c r="E80" s="2">
        <v>559277</v>
      </c>
      <c r="F80" s="2">
        <f>1.7*909906/2.3</f>
        <v>672539.21739130432</v>
      </c>
      <c r="G80" s="11">
        <v>47.2</v>
      </c>
      <c r="H80" t="s">
        <v>250</v>
      </c>
      <c r="I80" t="s">
        <v>255</v>
      </c>
      <c r="J80" t="s">
        <v>403</v>
      </c>
      <c r="K80" s="3">
        <v>0</v>
      </c>
      <c r="L80" s="3">
        <v>12</v>
      </c>
      <c r="M80">
        <v>79</v>
      </c>
      <c r="N80" s="6">
        <f>11/6</f>
        <v>1.8333333333333333</v>
      </c>
      <c r="O80" s="16">
        <f t="shared" si="1"/>
        <v>35.975471537888204</v>
      </c>
      <c r="P80" s="3">
        <v>57941</v>
      </c>
      <c r="Q80" s="10">
        <v>10</v>
      </c>
      <c r="AB80" t="s">
        <v>404</v>
      </c>
      <c r="AC80">
        <f>-14*1.5+2</f>
        <v>-19</v>
      </c>
      <c r="AF80" t="s">
        <v>406</v>
      </c>
    </row>
    <row r="81" spans="1:32" x14ac:dyDescent="0.55000000000000004">
      <c r="A81" t="s">
        <v>168</v>
      </c>
      <c r="B81" t="s">
        <v>169</v>
      </c>
      <c r="C81" t="s">
        <v>170</v>
      </c>
      <c r="D81" s="2">
        <v>3100</v>
      </c>
      <c r="E81" s="2">
        <v>446970</v>
      </c>
      <c r="F81" s="2">
        <v>725008</v>
      </c>
      <c r="G81" s="13">
        <v>58</v>
      </c>
      <c r="H81" t="s">
        <v>250</v>
      </c>
      <c r="I81" t="s">
        <v>260</v>
      </c>
      <c r="J81" t="s">
        <v>306</v>
      </c>
      <c r="K81" s="9">
        <v>12</v>
      </c>
      <c r="L81" s="9">
        <v>0</v>
      </c>
      <c r="M81">
        <v>80</v>
      </c>
      <c r="N81" s="6">
        <v>2</v>
      </c>
      <c r="O81" s="16">
        <f t="shared" si="1"/>
        <v>23.785711009523808</v>
      </c>
      <c r="P81" s="9">
        <v>64436</v>
      </c>
      <c r="Q81" s="16">
        <v>10</v>
      </c>
      <c r="AF81" t="s">
        <v>407</v>
      </c>
    </row>
    <row r="82" spans="1:32" x14ac:dyDescent="0.55000000000000004">
      <c r="A82" t="s">
        <v>171</v>
      </c>
      <c r="B82" t="s">
        <v>113</v>
      </c>
      <c r="C82" t="s">
        <v>114</v>
      </c>
      <c r="D82" s="2">
        <v>11367</v>
      </c>
      <c r="E82" s="2">
        <v>693972</v>
      </c>
      <c r="F82" s="2">
        <f>1.7*6131977/2.3</f>
        <v>4532330.826086957</v>
      </c>
      <c r="G82" s="11">
        <v>88.32</v>
      </c>
      <c r="H82" t="s">
        <v>250</v>
      </c>
      <c r="I82" t="s">
        <v>170</v>
      </c>
      <c r="J82" t="s">
        <v>306</v>
      </c>
      <c r="K82" s="3">
        <v>20</v>
      </c>
      <c r="L82" s="9">
        <v>0</v>
      </c>
      <c r="M82">
        <v>81</v>
      </c>
      <c r="N82" s="6">
        <v>2</v>
      </c>
      <c r="O82" s="16">
        <f t="shared" si="1"/>
        <v>-15.876275988405798</v>
      </c>
      <c r="P82" s="9">
        <v>63671</v>
      </c>
      <c r="Q82" s="10">
        <v>10</v>
      </c>
      <c r="AB82" t="s">
        <v>408</v>
      </c>
      <c r="AC82">
        <f>-2.5+1</f>
        <v>-1.5</v>
      </c>
      <c r="AF82" t="s">
        <v>338</v>
      </c>
    </row>
    <row r="83" spans="1:32" x14ac:dyDescent="0.55000000000000004">
      <c r="A83" t="s">
        <v>172</v>
      </c>
      <c r="B83" t="s">
        <v>173</v>
      </c>
      <c r="C83" t="s">
        <v>22</v>
      </c>
      <c r="D83" s="2">
        <f>(4058+8483)/2</f>
        <v>6270.5</v>
      </c>
      <c r="E83" s="2">
        <f>(266162+3976322)/2</f>
        <v>2121242</v>
      </c>
      <c r="F83" s="2">
        <f>12150996</f>
        <v>12150996</v>
      </c>
      <c r="G83" s="11">
        <v>75.53</v>
      </c>
      <c r="H83" t="s">
        <v>250</v>
      </c>
      <c r="I83" t="s">
        <v>270</v>
      </c>
      <c r="J83" t="s">
        <v>409</v>
      </c>
      <c r="K83" s="9">
        <v>0</v>
      </c>
      <c r="L83" s="9">
        <v>12</v>
      </c>
      <c r="M83">
        <v>82</v>
      </c>
      <c r="N83" s="6">
        <v>1</v>
      </c>
      <c r="O83" s="16">
        <f t="shared" si="1"/>
        <v>-0.74466407619047903</v>
      </c>
      <c r="P83" s="3">
        <v>60169</v>
      </c>
      <c r="Q83" s="16">
        <v>10</v>
      </c>
      <c r="AB83" t="s">
        <v>410</v>
      </c>
      <c r="AC83">
        <f>-7-7-6*1.5</f>
        <v>-23</v>
      </c>
      <c r="AF83" t="s">
        <v>338</v>
      </c>
    </row>
    <row r="84" spans="1:32" x14ac:dyDescent="0.55000000000000004">
      <c r="A84" t="s">
        <v>174</v>
      </c>
      <c r="B84" t="s">
        <v>175</v>
      </c>
      <c r="C84" t="s">
        <v>31</v>
      </c>
      <c r="D84" s="2">
        <v>1700</v>
      </c>
      <c r="E84" s="2">
        <v>120612</v>
      </c>
      <c r="F84" s="2">
        <v>124748</v>
      </c>
      <c r="G84" s="13">
        <v>40</v>
      </c>
      <c r="H84" t="s">
        <v>250</v>
      </c>
      <c r="I84" t="s">
        <v>262</v>
      </c>
      <c r="J84" t="s">
        <v>306</v>
      </c>
      <c r="K84" s="19">
        <v>12</v>
      </c>
      <c r="L84" s="9">
        <v>0</v>
      </c>
      <c r="M84">
        <v>83</v>
      </c>
      <c r="N84" s="6">
        <v>1</v>
      </c>
      <c r="O84" s="16">
        <f t="shared" si="1"/>
        <v>15.665942247619046</v>
      </c>
      <c r="P84" s="9">
        <v>60862</v>
      </c>
      <c r="Q84" s="10">
        <v>10</v>
      </c>
      <c r="AB84" t="s">
        <v>411</v>
      </c>
      <c r="AC84">
        <v>-15</v>
      </c>
      <c r="AF84" t="s">
        <v>412</v>
      </c>
    </row>
    <row r="85" spans="1:32" x14ac:dyDescent="0.55000000000000004">
      <c r="A85" t="s">
        <v>176</v>
      </c>
      <c r="B85" t="s">
        <v>177</v>
      </c>
      <c r="C85" t="s">
        <v>38</v>
      </c>
      <c r="D85" s="2">
        <v>11685</v>
      </c>
      <c r="E85" s="2">
        <v>1567872</v>
      </c>
      <c r="F85" s="16">
        <f>6069875*1.7/2.3</f>
        <v>4486429.3478260869</v>
      </c>
      <c r="G85" s="11">
        <v>69.59</v>
      </c>
      <c r="H85" t="s">
        <v>250</v>
      </c>
      <c r="I85" t="s">
        <v>170</v>
      </c>
      <c r="J85" t="s">
        <v>300</v>
      </c>
      <c r="K85">
        <v>0</v>
      </c>
      <c r="L85" s="9">
        <v>12</v>
      </c>
      <c r="M85">
        <v>84</v>
      </c>
      <c r="N85" s="6">
        <v>1</v>
      </c>
      <c r="O85" s="16">
        <f t="shared" si="1"/>
        <v>41.418328281573501</v>
      </c>
      <c r="P85">
        <v>65573</v>
      </c>
      <c r="Q85" s="10">
        <v>10</v>
      </c>
      <c r="AB85" t="s">
        <v>413</v>
      </c>
      <c r="AC85">
        <f>-2*1.5</f>
        <v>-3</v>
      </c>
      <c r="AF85" t="s">
        <v>338</v>
      </c>
    </row>
    <row r="86" spans="1:32" x14ac:dyDescent="0.55000000000000004">
      <c r="A86" t="s">
        <v>179</v>
      </c>
      <c r="B86" t="s">
        <v>178</v>
      </c>
      <c r="C86" t="s">
        <v>26</v>
      </c>
      <c r="D86" s="2">
        <v>4587</v>
      </c>
      <c r="E86" s="2">
        <v>98111</v>
      </c>
      <c r="F86" s="2">
        <f>1170483*1.7/2.3</f>
        <v>865139.60869565222</v>
      </c>
      <c r="G86" s="11">
        <v>58.09</v>
      </c>
      <c r="H86" t="s">
        <v>250</v>
      </c>
      <c r="I86" t="s">
        <v>26</v>
      </c>
      <c r="J86" t="s">
        <v>415</v>
      </c>
      <c r="K86">
        <v>0</v>
      </c>
      <c r="L86" s="9">
        <v>24</v>
      </c>
      <c r="M86">
        <v>85</v>
      </c>
      <c r="N86" s="6">
        <v>2</v>
      </c>
      <c r="O86" s="16">
        <f t="shared" si="1"/>
        <v>78.517208054658383</v>
      </c>
      <c r="P86">
        <v>63270</v>
      </c>
      <c r="Q86" s="16">
        <v>50</v>
      </c>
      <c r="AB86" t="s">
        <v>414</v>
      </c>
      <c r="AC86">
        <f>-2+24/3</f>
        <v>6</v>
      </c>
      <c r="AF86" t="s">
        <v>416</v>
      </c>
    </row>
    <row r="87" spans="1:32" x14ac:dyDescent="0.55000000000000004">
      <c r="A87" t="s">
        <v>232</v>
      </c>
      <c r="B87" t="s">
        <v>233</v>
      </c>
      <c r="C87" t="s">
        <v>45</v>
      </c>
      <c r="D87" s="2">
        <v>4200</v>
      </c>
      <c r="E87" s="2">
        <v>198829</v>
      </c>
      <c r="F87" s="2">
        <v>569935</v>
      </c>
      <c r="G87" s="11">
        <v>48.12</v>
      </c>
      <c r="H87" t="s">
        <v>250</v>
      </c>
      <c r="I87" t="s">
        <v>260</v>
      </c>
      <c r="J87" s="3" t="s">
        <v>306</v>
      </c>
      <c r="K87" s="3">
        <v>0</v>
      </c>
      <c r="L87" s="3">
        <v>0</v>
      </c>
      <c r="M87">
        <f t="shared" ref="M87:M92" si="2">(114/2+113)/2</f>
        <v>85</v>
      </c>
      <c r="N87" s="6">
        <v>1</v>
      </c>
      <c r="O87" s="16">
        <f t="shared" si="1"/>
        <v>41.751482095238089</v>
      </c>
      <c r="P87" s="9">
        <v>57507</v>
      </c>
      <c r="Q87" s="16">
        <v>10</v>
      </c>
      <c r="AF87" t="s">
        <v>338</v>
      </c>
    </row>
    <row r="88" spans="1:32" x14ac:dyDescent="0.55000000000000004">
      <c r="A88" t="s">
        <v>238</v>
      </c>
      <c r="B88" t="s">
        <v>239</v>
      </c>
      <c r="C88" t="s">
        <v>61</v>
      </c>
      <c r="D88" s="2">
        <v>3960</v>
      </c>
      <c r="E88" s="2">
        <v>860090</v>
      </c>
      <c r="F88" s="2">
        <v>1368035</v>
      </c>
      <c r="G88" s="11">
        <v>53.65</v>
      </c>
      <c r="H88" t="s">
        <v>250</v>
      </c>
      <c r="I88" t="s">
        <v>260</v>
      </c>
      <c r="J88" s="9" t="s">
        <v>306</v>
      </c>
      <c r="K88">
        <v>0</v>
      </c>
      <c r="L88" s="9">
        <v>0</v>
      </c>
      <c r="M88">
        <f t="shared" si="2"/>
        <v>85</v>
      </c>
      <c r="N88" s="6">
        <v>1.5</v>
      </c>
      <c r="O88" s="16">
        <f t="shared" si="1"/>
        <v>7.2167820952380843</v>
      </c>
      <c r="P88" s="9">
        <v>58873</v>
      </c>
      <c r="Q88" s="10">
        <v>10</v>
      </c>
      <c r="AB88" t="s">
        <v>461</v>
      </c>
      <c r="AC88">
        <f>-15-12</f>
        <v>-27</v>
      </c>
      <c r="AF88" t="s">
        <v>338</v>
      </c>
    </row>
    <row r="89" spans="1:32" x14ac:dyDescent="0.55000000000000004">
      <c r="A89" t="s">
        <v>224</v>
      </c>
      <c r="B89" t="s">
        <v>225</v>
      </c>
      <c r="C89" t="s">
        <v>22</v>
      </c>
      <c r="D89" s="10">
        <f>(2*3196+3515)/3</f>
        <v>3302.3333333333335</v>
      </c>
      <c r="E89" s="10">
        <v>216995</v>
      </c>
      <c r="F89" s="10">
        <v>216995</v>
      </c>
      <c r="G89" s="13">
        <v>75</v>
      </c>
      <c r="H89" t="s">
        <v>250</v>
      </c>
      <c r="I89" t="s">
        <v>270</v>
      </c>
      <c r="J89" s="9" t="s">
        <v>306</v>
      </c>
      <c r="K89">
        <f>0.75*24</f>
        <v>18</v>
      </c>
      <c r="L89" s="9">
        <v>0</v>
      </c>
      <c r="M89">
        <f t="shared" si="2"/>
        <v>85</v>
      </c>
      <c r="N89" s="7">
        <v>1</v>
      </c>
      <c r="O89" s="16">
        <f t="shared" si="1"/>
        <v>6.7118349841269911</v>
      </c>
      <c r="P89">
        <v>63505</v>
      </c>
      <c r="Q89" s="10">
        <v>10</v>
      </c>
      <c r="AB89" t="s">
        <v>453</v>
      </c>
      <c r="AC89">
        <f>2-3</f>
        <v>-1</v>
      </c>
      <c r="AF89" t="s">
        <v>338</v>
      </c>
    </row>
    <row r="90" spans="1:32" x14ac:dyDescent="0.55000000000000004">
      <c r="A90" t="s">
        <v>226</v>
      </c>
      <c r="B90" t="s">
        <v>454</v>
      </c>
      <c r="C90" t="s">
        <v>79</v>
      </c>
      <c r="D90" s="2">
        <v>2909</v>
      </c>
      <c r="E90" s="2">
        <v>190345</v>
      </c>
      <c r="F90" s="2">
        <v>132600</v>
      </c>
      <c r="G90" s="13">
        <v>55</v>
      </c>
      <c r="H90" t="s">
        <v>265</v>
      </c>
      <c r="I90" t="s">
        <v>260</v>
      </c>
      <c r="J90" s="9" t="s">
        <v>300</v>
      </c>
      <c r="K90">
        <v>6</v>
      </c>
      <c r="L90" s="9">
        <v>12</v>
      </c>
      <c r="M90">
        <f t="shared" si="2"/>
        <v>85</v>
      </c>
      <c r="N90" s="6">
        <v>2</v>
      </c>
      <c r="O90" s="16">
        <f t="shared" si="1"/>
        <v>4.0637560952380936</v>
      </c>
      <c r="P90" s="3">
        <v>61858</v>
      </c>
      <c r="Q90" s="10">
        <v>10</v>
      </c>
      <c r="AB90" t="s">
        <v>455</v>
      </c>
      <c r="AC90">
        <f>-15-12*2*0.4-15-5-10</f>
        <v>-54.6</v>
      </c>
      <c r="AF90" t="s">
        <v>338</v>
      </c>
    </row>
    <row r="91" spans="1:32" x14ac:dyDescent="0.55000000000000004">
      <c r="A91" t="s">
        <v>227</v>
      </c>
      <c r="B91" t="s">
        <v>78</v>
      </c>
      <c r="C91" t="s">
        <v>79</v>
      </c>
      <c r="D91" s="2">
        <v>11898</v>
      </c>
      <c r="E91" s="2">
        <v>2704598</v>
      </c>
      <c r="F91" s="2">
        <f>1.7*9512999/2.3</f>
        <v>7031347.0869565215</v>
      </c>
      <c r="G91" s="11">
        <v>72.13</v>
      </c>
      <c r="H91" t="s">
        <v>250</v>
      </c>
      <c r="I91" t="s">
        <v>260</v>
      </c>
      <c r="J91" s="9" t="s">
        <v>306</v>
      </c>
      <c r="K91">
        <v>0</v>
      </c>
      <c r="L91" s="9">
        <v>0</v>
      </c>
      <c r="M91">
        <f t="shared" si="2"/>
        <v>85</v>
      </c>
      <c r="N91" s="7">
        <v>1.5</v>
      </c>
      <c r="O91" s="16">
        <f t="shared" si="1"/>
        <v>-35.193837243892332</v>
      </c>
      <c r="P91" s="9">
        <v>58214</v>
      </c>
      <c r="Q91" s="10">
        <v>10</v>
      </c>
      <c r="AB91" t="s">
        <v>457</v>
      </c>
      <c r="AC91">
        <f>-15-15-7</f>
        <v>-37</v>
      </c>
      <c r="AF91" t="s">
        <v>456</v>
      </c>
    </row>
    <row r="92" spans="1:32" x14ac:dyDescent="0.55000000000000004">
      <c r="A92" t="s">
        <v>236</v>
      </c>
      <c r="B92" t="s">
        <v>334</v>
      </c>
      <c r="C92" t="s">
        <v>26</v>
      </c>
      <c r="D92" s="2">
        <v>21638</v>
      </c>
      <c r="E92" s="10">
        <f>(8622698+2358582*2)/3</f>
        <v>4446620.666666667</v>
      </c>
      <c r="F92" s="10">
        <f>8622698*2+2358582</f>
        <v>19603978</v>
      </c>
      <c r="G92" s="13">
        <v>100</v>
      </c>
      <c r="H92" t="s">
        <v>250</v>
      </c>
      <c r="I92" t="s">
        <v>170</v>
      </c>
      <c r="J92" s="9" t="s">
        <v>459</v>
      </c>
      <c r="K92">
        <v>12</v>
      </c>
      <c r="L92" s="9">
        <v>12</v>
      </c>
      <c r="M92">
        <f t="shared" si="2"/>
        <v>85</v>
      </c>
      <c r="N92" s="6">
        <v>2</v>
      </c>
      <c r="O92" s="16">
        <f t="shared" si="1"/>
        <v>-51.836197815873021</v>
      </c>
      <c r="P92" s="9">
        <v>76286</v>
      </c>
      <c r="Q92" s="10">
        <v>10</v>
      </c>
      <c r="AB92" t="s">
        <v>458</v>
      </c>
      <c r="AC92">
        <v>-17</v>
      </c>
      <c r="AF92" t="s">
        <v>460</v>
      </c>
    </row>
    <row r="93" spans="1:32" x14ac:dyDescent="0.55000000000000004">
      <c r="A93" t="s">
        <v>180</v>
      </c>
      <c r="B93" t="s">
        <v>78</v>
      </c>
      <c r="C93" t="s">
        <v>79</v>
      </c>
      <c r="D93" s="2">
        <v>11898</v>
      </c>
      <c r="E93" s="2">
        <v>2704598</v>
      </c>
      <c r="F93" s="2">
        <f>1.7*9512999/2.3</f>
        <v>7031347.0869565215</v>
      </c>
      <c r="G93" s="11">
        <v>72.13</v>
      </c>
      <c r="H93" t="s">
        <v>265</v>
      </c>
      <c r="I93" t="s">
        <v>260</v>
      </c>
      <c r="J93" t="s">
        <v>306</v>
      </c>
      <c r="K93">
        <v>12</v>
      </c>
      <c r="L93" s="9">
        <v>0</v>
      </c>
      <c r="M93">
        <v>86</v>
      </c>
      <c r="N93" s="6">
        <f>8/5</f>
        <v>1.6</v>
      </c>
      <c r="O93" s="16">
        <f t="shared" si="1"/>
        <v>0.56422821498964981</v>
      </c>
      <c r="P93">
        <v>62514</v>
      </c>
      <c r="Q93" s="16">
        <v>10</v>
      </c>
      <c r="AF93" t="s">
        <v>338</v>
      </c>
    </row>
    <row r="94" spans="1:32" x14ac:dyDescent="0.55000000000000004">
      <c r="A94" t="s">
        <v>181</v>
      </c>
      <c r="B94" t="s">
        <v>182</v>
      </c>
      <c r="C94" t="s">
        <v>183</v>
      </c>
      <c r="D94" s="2">
        <v>1673</v>
      </c>
      <c r="E94" s="2">
        <v>198541</v>
      </c>
      <c r="F94" s="2">
        <v>431388</v>
      </c>
      <c r="G94" s="11">
        <v>50.4</v>
      </c>
      <c r="H94" t="s">
        <v>250</v>
      </c>
      <c r="I94" t="s">
        <v>262</v>
      </c>
      <c r="J94" s="3" t="s">
        <v>306</v>
      </c>
      <c r="K94" s="3">
        <v>12</v>
      </c>
      <c r="L94" s="3">
        <v>0</v>
      </c>
      <c r="M94">
        <v>87</v>
      </c>
      <c r="N94" s="6">
        <v>2</v>
      </c>
      <c r="O94" s="16">
        <f t="shared" si="1"/>
        <v>16.821096342857146</v>
      </c>
      <c r="P94">
        <v>55051</v>
      </c>
      <c r="Q94" s="10">
        <v>10</v>
      </c>
      <c r="AB94" t="s">
        <v>417</v>
      </c>
      <c r="AF94" t="s">
        <v>338</v>
      </c>
    </row>
    <row r="95" spans="1:32" x14ac:dyDescent="0.55000000000000004">
      <c r="A95" t="s">
        <v>184</v>
      </c>
      <c r="B95" t="s">
        <v>185</v>
      </c>
      <c r="C95" t="s">
        <v>186</v>
      </c>
      <c r="D95" s="2">
        <v>1523</v>
      </c>
      <c r="E95" s="2">
        <v>165072</v>
      </c>
      <c r="F95" s="2">
        <v>351478</v>
      </c>
      <c r="G95" s="13">
        <v>48.5</v>
      </c>
      <c r="H95" t="s">
        <v>265</v>
      </c>
      <c r="I95" t="s">
        <v>262</v>
      </c>
      <c r="J95" t="s">
        <v>419</v>
      </c>
      <c r="K95">
        <v>8</v>
      </c>
      <c r="L95" s="9">
        <v>12</v>
      </c>
      <c r="M95">
        <v>88</v>
      </c>
      <c r="N95" s="6">
        <v>1.5</v>
      </c>
      <c r="O95" s="16">
        <f t="shared" si="1"/>
        <v>46.699088639999999</v>
      </c>
      <c r="P95">
        <v>54415</v>
      </c>
      <c r="Q95" s="16">
        <v>10</v>
      </c>
      <c r="AB95" t="s">
        <v>420</v>
      </c>
      <c r="AC95">
        <v>-2.5</v>
      </c>
      <c r="AF95" t="s">
        <v>418</v>
      </c>
    </row>
    <row r="96" spans="1:32" x14ac:dyDescent="0.55000000000000004">
      <c r="A96" t="s">
        <v>421</v>
      </c>
      <c r="B96" t="s">
        <v>425</v>
      </c>
      <c r="C96" t="s">
        <v>26</v>
      </c>
      <c r="D96" s="2">
        <v>1623</v>
      </c>
      <c r="E96" s="2">
        <v>44556</v>
      </c>
      <c r="F96" s="2">
        <v>44556</v>
      </c>
      <c r="G96" s="13">
        <v>49</v>
      </c>
      <c r="H96" t="s">
        <v>250</v>
      </c>
      <c r="I96" t="s">
        <v>26</v>
      </c>
      <c r="J96" t="s">
        <v>424</v>
      </c>
      <c r="K96">
        <v>12</v>
      </c>
      <c r="L96" s="9">
        <v>12</v>
      </c>
      <c r="M96">
        <v>89</v>
      </c>
      <c r="N96" s="6">
        <v>1</v>
      </c>
      <c r="O96" s="16">
        <f t="shared" si="1"/>
        <v>72.394213257142866</v>
      </c>
      <c r="P96">
        <v>67771</v>
      </c>
      <c r="Q96" s="16">
        <v>10</v>
      </c>
      <c r="R96" s="16">
        <v>6</v>
      </c>
      <c r="AB96" t="s">
        <v>423</v>
      </c>
      <c r="AC96">
        <v>2</v>
      </c>
      <c r="AF96" t="s">
        <v>426</v>
      </c>
    </row>
    <row r="97" spans="1:32" x14ac:dyDescent="0.55000000000000004">
      <c r="A97" t="s">
        <v>187</v>
      </c>
      <c r="B97" t="s">
        <v>188</v>
      </c>
      <c r="C97" t="s">
        <v>22</v>
      </c>
      <c r="D97" s="2">
        <v>5057</v>
      </c>
      <c r="E97" s="2">
        <v>501334</v>
      </c>
      <c r="F97" s="2">
        <v>1723634</v>
      </c>
      <c r="G97" s="11">
        <v>61.27</v>
      </c>
      <c r="H97" t="s">
        <v>250</v>
      </c>
      <c r="I97" t="s">
        <v>256</v>
      </c>
      <c r="J97" t="s">
        <v>300</v>
      </c>
      <c r="K97">
        <v>0</v>
      </c>
      <c r="L97" s="9">
        <v>12</v>
      </c>
      <c r="M97">
        <v>90</v>
      </c>
      <c r="N97" s="6">
        <v>1.1399999999999999</v>
      </c>
      <c r="O97" s="16">
        <f t="shared" si="1"/>
        <v>61.828177980952375</v>
      </c>
      <c r="P97" s="3">
        <v>60421</v>
      </c>
      <c r="Q97" s="10">
        <v>10</v>
      </c>
      <c r="AF97" t="s">
        <v>349</v>
      </c>
    </row>
    <row r="98" spans="1:32" x14ac:dyDescent="0.55000000000000004">
      <c r="A98" t="s">
        <v>235</v>
      </c>
      <c r="B98" t="s">
        <v>189</v>
      </c>
      <c r="C98" t="s">
        <v>190</v>
      </c>
      <c r="D98" s="2">
        <f>335</f>
        <v>335</v>
      </c>
      <c r="E98" s="2">
        <f>11260+2286+13513</f>
        <v>27059</v>
      </c>
      <c r="F98" s="2">
        <v>13513</v>
      </c>
      <c r="G98" s="13">
        <v>57.5</v>
      </c>
      <c r="H98" t="s">
        <v>265</v>
      </c>
      <c r="I98" t="s">
        <v>170</v>
      </c>
      <c r="J98" t="s">
        <v>300</v>
      </c>
      <c r="K98">
        <v>0</v>
      </c>
      <c r="L98" s="9">
        <v>12</v>
      </c>
      <c r="M98">
        <v>91</v>
      </c>
      <c r="N98" s="6">
        <v>1</v>
      </c>
      <c r="O98" s="16">
        <f t="shared" si="1"/>
        <v>63.481618678095231</v>
      </c>
      <c r="P98">
        <v>61860</v>
      </c>
      <c r="Q98" s="16">
        <v>10</v>
      </c>
      <c r="AB98" t="s">
        <v>467</v>
      </c>
      <c r="AC98">
        <f>-7*0.8+1</f>
        <v>-4.6000000000000005</v>
      </c>
      <c r="AF98" t="s">
        <v>427</v>
      </c>
    </row>
    <row r="99" spans="1:32" x14ac:dyDescent="0.55000000000000004">
      <c r="A99" t="s">
        <v>191</v>
      </c>
      <c r="B99" t="s">
        <v>192</v>
      </c>
      <c r="C99" t="s">
        <v>38</v>
      </c>
      <c r="D99" s="10">
        <f>(2970*2+1500+393)/4</f>
        <v>1958.25</v>
      </c>
      <c r="E99" s="2">
        <f>3099+4618+1899</f>
        <v>9616</v>
      </c>
      <c r="F99" s="10">
        <f>E99</f>
        <v>9616</v>
      </c>
      <c r="G99" s="13">
        <v>47</v>
      </c>
      <c r="H99" t="s">
        <v>250</v>
      </c>
      <c r="I99" t="s">
        <v>170</v>
      </c>
      <c r="J99" t="s">
        <v>300</v>
      </c>
      <c r="K99">
        <v>0</v>
      </c>
      <c r="L99" s="9">
        <v>12</v>
      </c>
      <c r="M99">
        <v>92</v>
      </c>
      <c r="N99" s="6">
        <f>7/6</f>
        <v>1.1666666666666667</v>
      </c>
      <c r="O99" s="16">
        <f t="shared" si="1"/>
        <v>56.675345828571437</v>
      </c>
      <c r="P99">
        <v>66204</v>
      </c>
      <c r="Q99" s="16">
        <v>10</v>
      </c>
      <c r="AB99" t="s">
        <v>429</v>
      </c>
      <c r="AC99">
        <f>-15-2</f>
        <v>-17</v>
      </c>
      <c r="AF99" t="s">
        <v>428</v>
      </c>
    </row>
    <row r="100" spans="1:32" x14ac:dyDescent="0.55000000000000004">
      <c r="A100" t="s">
        <v>193</v>
      </c>
      <c r="B100" t="s">
        <v>194</v>
      </c>
      <c r="C100" t="s">
        <v>79</v>
      </c>
      <c r="D100" s="2">
        <v>1926</v>
      </c>
      <c r="E100" s="2">
        <v>115715</v>
      </c>
      <c r="F100" s="2">
        <f>E100*1.7/2.3</f>
        <v>85528.478260869568</v>
      </c>
      <c r="G100" s="13">
        <v>38</v>
      </c>
      <c r="H100" t="s">
        <v>250</v>
      </c>
      <c r="I100" t="s">
        <v>260</v>
      </c>
      <c r="J100" t="s">
        <v>306</v>
      </c>
      <c r="K100">
        <v>0</v>
      </c>
      <c r="L100" s="9">
        <v>0</v>
      </c>
      <c r="M100">
        <v>93</v>
      </c>
      <c r="N100" s="6">
        <v>1</v>
      </c>
      <c r="O100" s="16">
        <f t="shared" si="1"/>
        <v>26.074235387163554</v>
      </c>
      <c r="P100">
        <v>57524</v>
      </c>
      <c r="Q100" s="16">
        <v>50</v>
      </c>
      <c r="AB100" t="s">
        <v>430</v>
      </c>
      <c r="AC100">
        <f>-6*0.8-4-5</f>
        <v>-13.8</v>
      </c>
      <c r="AF100" t="s">
        <v>349</v>
      </c>
    </row>
    <row r="101" spans="1:32" x14ac:dyDescent="0.55000000000000004">
      <c r="A101" t="s">
        <v>246</v>
      </c>
      <c r="B101" t="s">
        <v>195</v>
      </c>
      <c r="C101" t="s">
        <v>42</v>
      </c>
      <c r="D101" s="2">
        <f>(2300*3+1700)/4</f>
        <v>2150</v>
      </c>
      <c r="E101" s="2">
        <f>(97032+24802)*0.9</f>
        <v>109650.6</v>
      </c>
      <c r="F101" s="2">
        <f>E101*1.7/2.3</f>
        <v>81046.095652173928</v>
      </c>
      <c r="G101" s="13">
        <v>60</v>
      </c>
      <c r="H101" t="s">
        <v>265</v>
      </c>
      <c r="I101" t="s">
        <v>170</v>
      </c>
      <c r="J101" t="s">
        <v>431</v>
      </c>
      <c r="K101">
        <v>12</v>
      </c>
      <c r="L101" s="9">
        <v>12</v>
      </c>
      <c r="M101">
        <v>94</v>
      </c>
      <c r="N101" s="6">
        <v>1</v>
      </c>
      <c r="O101" s="16">
        <f t="shared" si="1"/>
        <v>24.908049382393372</v>
      </c>
      <c r="P101">
        <v>55837</v>
      </c>
      <c r="Q101" s="10">
        <v>10</v>
      </c>
      <c r="AB101" t="s">
        <v>432</v>
      </c>
      <c r="AC101">
        <f>2-6-2-2-8-1-0</f>
        <v>-17</v>
      </c>
      <c r="AF101" t="s">
        <v>349</v>
      </c>
    </row>
    <row r="102" spans="1:32" x14ac:dyDescent="0.55000000000000004">
      <c r="A102" t="s">
        <v>196</v>
      </c>
      <c r="B102" t="s">
        <v>197</v>
      </c>
      <c r="C102" t="s">
        <v>198</v>
      </c>
      <c r="D102" s="2">
        <v>3736</v>
      </c>
      <c r="E102" s="2">
        <v>180393</v>
      </c>
      <c r="F102" s="2">
        <v>1190956</v>
      </c>
      <c r="G102" s="13">
        <f>106*78.08/166</f>
        <v>49.858313253012042</v>
      </c>
      <c r="H102" t="s">
        <v>250</v>
      </c>
      <c r="I102" t="s">
        <v>170</v>
      </c>
      <c r="J102" t="s">
        <v>433</v>
      </c>
      <c r="K102">
        <v>0</v>
      </c>
      <c r="L102" s="9">
        <v>12</v>
      </c>
      <c r="M102">
        <v>95</v>
      </c>
      <c r="N102" s="6">
        <v>1.3</v>
      </c>
      <c r="O102" s="16">
        <f t="shared" si="1"/>
        <v>47.984212648995978</v>
      </c>
      <c r="P102">
        <v>67271</v>
      </c>
      <c r="Q102" s="16">
        <v>10</v>
      </c>
      <c r="AB102" t="s">
        <v>468</v>
      </c>
      <c r="AC102">
        <f>-11</f>
        <v>-11</v>
      </c>
      <c r="AF102" t="s">
        <v>338</v>
      </c>
    </row>
    <row r="103" spans="1:32" x14ac:dyDescent="0.55000000000000004">
      <c r="A103" t="s">
        <v>199</v>
      </c>
      <c r="B103" t="s">
        <v>200</v>
      </c>
      <c r="C103" t="s">
        <v>47</v>
      </c>
      <c r="D103" s="2">
        <v>1819</v>
      </c>
      <c r="E103" s="2">
        <v>192036</v>
      </c>
      <c r="F103" s="2">
        <v>298317</v>
      </c>
      <c r="G103" s="11">
        <v>47.08</v>
      </c>
      <c r="H103" t="s">
        <v>265</v>
      </c>
      <c r="I103" t="s">
        <v>262</v>
      </c>
      <c r="J103" t="s">
        <v>306</v>
      </c>
      <c r="K103">
        <v>12</v>
      </c>
      <c r="L103" s="9">
        <v>0</v>
      </c>
      <c r="M103">
        <v>96</v>
      </c>
      <c r="N103" s="6">
        <v>2.5</v>
      </c>
      <c r="O103" s="16">
        <f t="shared" si="1"/>
        <v>-5.4972335161904686</v>
      </c>
      <c r="P103">
        <v>52707</v>
      </c>
      <c r="Q103" s="16">
        <v>10</v>
      </c>
      <c r="AB103" t="s">
        <v>434</v>
      </c>
      <c r="AC103">
        <f>-6*2-2-5</f>
        <v>-19</v>
      </c>
      <c r="AF103" t="s">
        <v>348</v>
      </c>
    </row>
    <row r="104" spans="1:32" x14ac:dyDescent="0.55000000000000004">
      <c r="A104" t="s">
        <v>201</v>
      </c>
      <c r="B104" t="s">
        <v>202</v>
      </c>
      <c r="C104" t="s">
        <v>203</v>
      </c>
      <c r="D104" s="2">
        <v>930</v>
      </c>
      <c r="E104" s="2">
        <v>643648</v>
      </c>
      <c r="F104" s="2">
        <v>861505</v>
      </c>
      <c r="G104" s="11">
        <v>47.39</v>
      </c>
      <c r="H104" t="s">
        <v>250</v>
      </c>
      <c r="I104" t="s">
        <v>260</v>
      </c>
      <c r="J104" t="s">
        <v>300</v>
      </c>
      <c r="K104">
        <v>0</v>
      </c>
      <c r="L104" s="9">
        <v>12</v>
      </c>
      <c r="M104">
        <v>97</v>
      </c>
      <c r="N104" s="6">
        <v>1.5</v>
      </c>
      <c r="O104" s="16">
        <f t="shared" si="1"/>
        <v>61.488557714285712</v>
      </c>
      <c r="P104">
        <v>57903</v>
      </c>
      <c r="Q104" s="16">
        <v>10</v>
      </c>
      <c r="AF104" t="s">
        <v>338</v>
      </c>
    </row>
    <row r="105" spans="1:32" x14ac:dyDescent="0.55000000000000004">
      <c r="A105" t="s">
        <v>243</v>
      </c>
      <c r="B105" t="s">
        <v>204</v>
      </c>
      <c r="C105" t="s">
        <v>50</v>
      </c>
      <c r="D105" s="2">
        <v>1217</v>
      </c>
      <c r="E105" s="2">
        <v>50180</v>
      </c>
      <c r="F105" s="2">
        <v>4944332</v>
      </c>
      <c r="G105" s="13">
        <v>50</v>
      </c>
      <c r="H105" t="s">
        <v>250</v>
      </c>
      <c r="I105" t="s">
        <v>255</v>
      </c>
      <c r="J105" t="s">
        <v>306</v>
      </c>
      <c r="K105" s="3">
        <v>0</v>
      </c>
      <c r="L105" s="3">
        <v>0</v>
      </c>
      <c r="M105">
        <v>98</v>
      </c>
      <c r="N105" s="6">
        <v>1</v>
      </c>
      <c r="O105" s="16">
        <f t="shared" si="1"/>
        <v>15.419564038095233</v>
      </c>
      <c r="P105">
        <v>51076</v>
      </c>
      <c r="Q105" s="10">
        <v>10</v>
      </c>
      <c r="AB105" t="s">
        <v>435</v>
      </c>
      <c r="AC105">
        <v>-15</v>
      </c>
      <c r="AF105" t="s">
        <v>338</v>
      </c>
    </row>
    <row r="106" spans="1:32" x14ac:dyDescent="0.55000000000000004">
      <c r="A106" t="s">
        <v>205</v>
      </c>
      <c r="B106" t="s">
        <v>206</v>
      </c>
      <c r="C106" t="s">
        <v>24</v>
      </c>
      <c r="D106" s="2">
        <v>1624</v>
      </c>
      <c r="E106" s="2">
        <v>63374</v>
      </c>
      <c r="F106" s="2">
        <v>6131977</v>
      </c>
      <c r="G106" s="13">
        <v>85</v>
      </c>
      <c r="H106" t="s">
        <v>265</v>
      </c>
      <c r="I106" t="s">
        <v>170</v>
      </c>
      <c r="J106" t="s">
        <v>306</v>
      </c>
      <c r="K106" s="3">
        <v>0</v>
      </c>
      <c r="L106" s="3">
        <v>0</v>
      </c>
      <c r="M106">
        <v>99</v>
      </c>
      <c r="N106" s="7">
        <v>2</v>
      </c>
      <c r="O106" s="16">
        <f>40+10-(IF(H106="N",0.4,1))*(IF(H106="residential",0.7,1))*((D106/750+E106/60000+F106/250000)/2.5)+1-(IF(H106="N",0.4,1))*(IF(H106="residential",0.7,1))*(G106-50)/3+-K106*1.5+L106*2-(IF(NOT(ISNUMBER(SEARCH("spine",J106))),L106*5/6,0))+6-N106*3+25/7-M106/7+AC106+AE106+10/3-Q106/6+(IF(I106="WA", 18, 0))+(IF(I106="OR", 15, 0))+(IF(I106="NY", 9, 0))+(IF(I106="NoCal", 2, 0))+(IF(I106="Rockies", 5, 0))+(IF(I106="SoCal", -6, 0))+(IF(I106="SE", -3, 0))+(IF(I106="SW", 1, 0))+(IF(I106="NE", -4, 0))+(IF(I106="Midwest", -1, 0))+IF(P106="military",(55000-58000)/1000)</f>
        <v>19.158718521904763</v>
      </c>
      <c r="P106" s="3" t="s">
        <v>437</v>
      </c>
      <c r="Q106" s="10">
        <v>10</v>
      </c>
      <c r="AB106" t="s">
        <v>436</v>
      </c>
      <c r="AF106" t="s">
        <v>338</v>
      </c>
    </row>
    <row r="107" spans="1:32" x14ac:dyDescent="0.55000000000000004">
      <c r="A107" t="s">
        <v>223</v>
      </c>
      <c r="B107" t="s">
        <v>438</v>
      </c>
      <c r="C107" t="s">
        <v>25</v>
      </c>
      <c r="D107" s="2">
        <v>2247</v>
      </c>
      <c r="E107" s="2">
        <v>535677</v>
      </c>
      <c r="F107" s="2">
        <v>843168</v>
      </c>
      <c r="G107" s="11">
        <v>45.17</v>
      </c>
      <c r="H107" t="s">
        <v>250</v>
      </c>
      <c r="I107" t="s">
        <v>255</v>
      </c>
      <c r="J107" t="s">
        <v>306</v>
      </c>
      <c r="K107">
        <v>12</v>
      </c>
      <c r="L107" s="9">
        <v>0</v>
      </c>
      <c r="M107">
        <v>100</v>
      </c>
      <c r="N107" s="6">
        <v>1</v>
      </c>
      <c r="O107" s="16">
        <f>40+10-(IF(H107="N",0.4,1))*(IF(H107="residential",0.7,1))*((D107/750+E107/60000+F107/250000)/2.5)+1-(IF(H107="N",0.4,1))*(IF(H107="residential",0.7,1))*(G107-50)/3+(P107-58000)/1000-K107*1.5+L107*2-(IF(NOT(ISNUMBER(SEARCH("spine",J107))),L107*5/6,0))+6-N107*3+25/7-M107/7+AC107+AE107+10/3-Q107/6+(IF(I107="WA", 18, 0))+(IF(I107="OR", 15, 0))+(IF(I107="NY", 9, 0))+(IF(I107="NoCal", 2, 0))+(IF(I107="Rockies", 5, 0))+(IF(I107="SoCal", -6, 0))+(IF(I107="SE", -3, 0))+(IF(I107="SW", 1, 0))+(IF(I107="NE", -4, 0))+(IF(I107="Midwest", -1, 0))</f>
        <v>29.893732152380949</v>
      </c>
      <c r="P107">
        <v>64450</v>
      </c>
      <c r="Q107" s="10">
        <v>10</v>
      </c>
      <c r="AF107" t="s">
        <v>338</v>
      </c>
    </row>
    <row r="108" spans="1:32" x14ac:dyDescent="0.55000000000000004">
      <c r="A108" t="s">
        <v>207</v>
      </c>
      <c r="B108" t="s">
        <v>208</v>
      </c>
      <c r="C108" t="s">
        <v>50</v>
      </c>
      <c r="D108" s="2">
        <v>1000</v>
      </c>
      <c r="E108" s="2">
        <v>76600</v>
      </c>
      <c r="F108" s="2">
        <v>450051</v>
      </c>
      <c r="G108" s="13">
        <v>40</v>
      </c>
      <c r="H108" t="s">
        <v>250</v>
      </c>
      <c r="I108" t="s">
        <v>255</v>
      </c>
      <c r="J108" t="s">
        <v>306</v>
      </c>
      <c r="K108">
        <v>12</v>
      </c>
      <c r="L108" s="9">
        <v>0</v>
      </c>
      <c r="M108">
        <v>101</v>
      </c>
      <c r="N108" s="6">
        <v>1</v>
      </c>
      <c r="O108" s="16">
        <f t="shared" ref="O108:O119" si="3">40+10-(IF(H108="N",0.4,1))*(IF(H108="residential",0.7,1))*((D108/750+E108/60000+F108/250000)/2.5)+1-(IF(H108="N",0.4,1))*(IF(H108="residential",0.7,1))*(G108-50)/3+(P108-58000)/1000-K108*1.5+L108*2-(IF(NOT(ISNUMBER(SEARCH("spine",J108))),L108*5/6,0))+6-N108*3+25/7-M108/7+AC108+AE108+10/3-Q108/6+(IF(I108="WA", 18, 0))+(IF(I108="OR", 15, 0))+(IF(I108="NY", 9, 0))+(IF(I108="NoCal", 2, 0))+(IF(I108="Rockies", 5, 0))+(IF(I108="SoCal", -6, 0))+(IF(I108="SE", -3, 0))+(IF(I108="SW", 1, 0))+(IF(I108="NE", -4, 0))+(IF(I108="Midwest", -1, 0))</f>
        <v>28.139775542857144</v>
      </c>
      <c r="P108">
        <v>56761</v>
      </c>
      <c r="Q108" s="10">
        <v>10</v>
      </c>
      <c r="AF108" t="s">
        <v>439</v>
      </c>
    </row>
    <row r="109" spans="1:32" x14ac:dyDescent="0.55000000000000004">
      <c r="A109" t="s">
        <v>209</v>
      </c>
      <c r="B109" t="s">
        <v>210</v>
      </c>
      <c r="C109" t="s">
        <v>22</v>
      </c>
      <c r="D109" s="2">
        <v>4008</v>
      </c>
      <c r="E109" s="2">
        <v>205499</v>
      </c>
      <c r="F109" s="2">
        <v>1506816</v>
      </c>
      <c r="G109" s="13">
        <v>78</v>
      </c>
      <c r="H109" t="s">
        <v>250</v>
      </c>
      <c r="I109" t="s">
        <v>270</v>
      </c>
      <c r="J109" t="s">
        <v>306</v>
      </c>
      <c r="K109" s="3">
        <v>0</v>
      </c>
      <c r="L109" s="3">
        <v>0</v>
      </c>
      <c r="M109">
        <v>102</v>
      </c>
      <c r="N109" s="6">
        <v>3</v>
      </c>
      <c r="O109" s="16">
        <f t="shared" si="3"/>
        <v>14.607834399999994</v>
      </c>
      <c r="P109">
        <v>62193</v>
      </c>
      <c r="Q109" s="10">
        <v>10</v>
      </c>
      <c r="AB109" t="s">
        <v>469</v>
      </c>
      <c r="AC109">
        <f>-7</f>
        <v>-7</v>
      </c>
      <c r="AF109" t="s">
        <v>440</v>
      </c>
    </row>
    <row r="110" spans="1:32" x14ac:dyDescent="0.55000000000000004">
      <c r="A110" t="s">
        <v>228</v>
      </c>
      <c r="B110" t="s">
        <v>211</v>
      </c>
      <c r="C110" t="s">
        <v>157</v>
      </c>
      <c r="D110" s="2">
        <v>1924</v>
      </c>
      <c r="E110" s="2">
        <v>621349</v>
      </c>
      <c r="F110" s="2">
        <v>1293953</v>
      </c>
      <c r="G110" s="11">
        <v>52.25</v>
      </c>
      <c r="H110" t="s">
        <v>250</v>
      </c>
      <c r="I110" t="s">
        <v>260</v>
      </c>
      <c r="J110" t="s">
        <v>306</v>
      </c>
      <c r="K110" s="3">
        <v>0</v>
      </c>
      <c r="L110" s="3">
        <v>0</v>
      </c>
      <c r="M110">
        <v>103</v>
      </c>
      <c r="N110" s="6">
        <v>2.2000000000000002</v>
      </c>
      <c r="O110" s="16">
        <f t="shared" si="3"/>
        <v>33.907024723809528</v>
      </c>
      <c r="P110">
        <v>59972</v>
      </c>
      <c r="Q110" s="16">
        <v>10</v>
      </c>
      <c r="AF110" t="s">
        <v>338</v>
      </c>
    </row>
    <row r="111" spans="1:32" x14ac:dyDescent="0.55000000000000004">
      <c r="A111" t="s">
        <v>212</v>
      </c>
      <c r="B111" t="s">
        <v>158</v>
      </c>
      <c r="C111" t="s">
        <v>45</v>
      </c>
      <c r="D111" s="2">
        <v>5000</v>
      </c>
      <c r="E111" s="2">
        <v>672795</v>
      </c>
      <c r="F111" s="2">
        <v>3734090</v>
      </c>
      <c r="G111" s="11">
        <v>57.79</v>
      </c>
      <c r="H111" t="s">
        <v>265</v>
      </c>
      <c r="I111" t="s">
        <v>260</v>
      </c>
      <c r="J111" t="s">
        <v>300</v>
      </c>
      <c r="K111" s="9">
        <v>0</v>
      </c>
      <c r="L111" s="9">
        <v>12</v>
      </c>
      <c r="M111">
        <v>104</v>
      </c>
      <c r="N111" s="6">
        <v>2</v>
      </c>
      <c r="O111" s="16">
        <f t="shared" si="3"/>
        <v>49.599728247619055</v>
      </c>
      <c r="P111">
        <v>54225</v>
      </c>
      <c r="Q111" s="10">
        <v>10</v>
      </c>
      <c r="AF111" t="s">
        <v>338</v>
      </c>
    </row>
    <row r="112" spans="1:32" x14ac:dyDescent="0.55000000000000004">
      <c r="A112" t="s">
        <v>213</v>
      </c>
      <c r="B112" t="s">
        <v>34</v>
      </c>
      <c r="C112" t="s">
        <v>35</v>
      </c>
      <c r="D112" s="2">
        <v>13903</v>
      </c>
      <c r="E112" s="2">
        <v>687584</v>
      </c>
      <c r="F112" s="2">
        <v>4180000</v>
      </c>
      <c r="G112" s="11">
        <v>83.7</v>
      </c>
      <c r="H112" t="s">
        <v>250</v>
      </c>
      <c r="I112" t="s">
        <v>170</v>
      </c>
      <c r="J112" t="s">
        <v>306</v>
      </c>
      <c r="K112" s="3">
        <v>12</v>
      </c>
      <c r="L112" s="3">
        <v>0</v>
      </c>
      <c r="M112">
        <v>106</v>
      </c>
      <c r="N112" s="6">
        <v>1</v>
      </c>
      <c r="O112" s="16">
        <f t="shared" si="3"/>
        <v>6.1850780952380937</v>
      </c>
      <c r="P112">
        <v>72010</v>
      </c>
      <c r="Q112" s="10">
        <v>10</v>
      </c>
      <c r="AF112" t="s">
        <v>338</v>
      </c>
    </row>
    <row r="113" spans="1:32" x14ac:dyDescent="0.55000000000000004">
      <c r="A113" t="s">
        <v>230</v>
      </c>
      <c r="B113" t="s">
        <v>206</v>
      </c>
      <c r="C113" t="s">
        <v>24</v>
      </c>
      <c r="D113" s="2">
        <v>1624</v>
      </c>
      <c r="E113" s="2">
        <v>63374</v>
      </c>
      <c r="F113" s="2">
        <v>6131977</v>
      </c>
      <c r="G113" s="13">
        <v>85</v>
      </c>
      <c r="H113" t="s">
        <v>265</v>
      </c>
      <c r="I113" t="s">
        <v>170</v>
      </c>
      <c r="J113" t="s">
        <v>306</v>
      </c>
      <c r="K113">
        <f>0.8*24+0.1*18</f>
        <v>21.000000000000004</v>
      </c>
      <c r="L113" s="9">
        <v>0</v>
      </c>
      <c r="M113">
        <v>107</v>
      </c>
      <c r="N113" s="6">
        <v>1</v>
      </c>
      <c r="O113" s="16">
        <f t="shared" si="3"/>
        <v>-13.071138620952384</v>
      </c>
      <c r="P113">
        <v>72413</v>
      </c>
      <c r="Q113" s="10">
        <v>10</v>
      </c>
      <c r="AB113" t="s">
        <v>441</v>
      </c>
      <c r="AC113">
        <v>-20</v>
      </c>
      <c r="AF113" t="s">
        <v>338</v>
      </c>
    </row>
    <row r="114" spans="1:32" x14ac:dyDescent="0.55000000000000004">
      <c r="A114" t="s">
        <v>214</v>
      </c>
      <c r="B114" t="s">
        <v>215</v>
      </c>
      <c r="C114" t="s">
        <v>22</v>
      </c>
      <c r="D114" s="2">
        <v>507</v>
      </c>
      <c r="E114" s="2">
        <v>47689</v>
      </c>
      <c r="F114" s="10">
        <v>47689</v>
      </c>
      <c r="G114" s="13">
        <v>80</v>
      </c>
      <c r="H114" t="s">
        <v>250</v>
      </c>
      <c r="I114" t="s">
        <v>270</v>
      </c>
      <c r="J114" t="s">
        <v>300</v>
      </c>
      <c r="K114" s="9">
        <v>2</v>
      </c>
      <c r="L114" s="9">
        <v>10</v>
      </c>
      <c r="M114">
        <v>108</v>
      </c>
      <c r="N114" s="6">
        <v>2</v>
      </c>
      <c r="O114" s="16">
        <f t="shared" si="3"/>
        <v>14.730894742857124</v>
      </c>
      <c r="P114">
        <v>62586</v>
      </c>
      <c r="Q114" s="10">
        <v>10</v>
      </c>
      <c r="AB114" t="s">
        <v>442</v>
      </c>
      <c r="AC114">
        <f>-15-10*2*0.8</f>
        <v>-31</v>
      </c>
      <c r="AF114" t="s">
        <v>338</v>
      </c>
    </row>
    <row r="115" spans="1:32" x14ac:dyDescent="0.55000000000000004">
      <c r="A115" t="s">
        <v>247</v>
      </c>
      <c r="B115" t="s">
        <v>216</v>
      </c>
      <c r="C115" t="s">
        <v>42</v>
      </c>
      <c r="D115" s="2">
        <v>5602</v>
      </c>
      <c r="E115" s="2">
        <v>15212</v>
      </c>
      <c r="F115" s="10">
        <v>15212</v>
      </c>
      <c r="G115" s="13">
        <v>70</v>
      </c>
      <c r="H115" t="s">
        <v>254</v>
      </c>
      <c r="I115" t="s">
        <v>170</v>
      </c>
      <c r="J115" s="3" t="s">
        <v>306</v>
      </c>
      <c r="K115" s="9">
        <v>12</v>
      </c>
      <c r="L115" s="3">
        <v>0</v>
      </c>
      <c r="M115">
        <v>109</v>
      </c>
      <c r="N115" s="6">
        <v>1</v>
      </c>
      <c r="O115" s="16">
        <f t="shared" si="3"/>
        <v>29.659605653333344</v>
      </c>
      <c r="P115">
        <v>69905</v>
      </c>
      <c r="Q115" s="10">
        <v>10</v>
      </c>
      <c r="AF115" t="s">
        <v>338</v>
      </c>
    </row>
    <row r="116" spans="1:32" x14ac:dyDescent="0.55000000000000004">
      <c r="A116" t="s">
        <v>217</v>
      </c>
      <c r="B116" t="s">
        <v>177</v>
      </c>
      <c r="C116" t="s">
        <v>38</v>
      </c>
      <c r="D116" s="2">
        <v>11685</v>
      </c>
      <c r="E116" s="2">
        <v>1567872</v>
      </c>
      <c r="F116" s="16">
        <f>6069875*1.7/2.3</f>
        <v>4486429.3478260869</v>
      </c>
      <c r="G116" s="11">
        <v>69.59</v>
      </c>
      <c r="H116" t="s">
        <v>250</v>
      </c>
      <c r="I116" t="s">
        <v>170</v>
      </c>
      <c r="J116" s="3" t="s">
        <v>306</v>
      </c>
      <c r="K116" s="9">
        <v>18</v>
      </c>
      <c r="L116" s="3">
        <v>0</v>
      </c>
      <c r="M116">
        <v>110</v>
      </c>
      <c r="N116" s="6">
        <v>2</v>
      </c>
      <c r="O116" s="16">
        <f t="shared" si="3"/>
        <v>-52.939957432712212</v>
      </c>
      <c r="P116">
        <v>55929</v>
      </c>
      <c r="Q116" s="10">
        <v>10</v>
      </c>
      <c r="AB116" t="s">
        <v>452</v>
      </c>
      <c r="AC116">
        <f>-15-15</f>
        <v>-30</v>
      </c>
      <c r="AF116" t="s">
        <v>443</v>
      </c>
    </row>
    <row r="117" spans="1:32" x14ac:dyDescent="0.55000000000000004">
      <c r="A117" t="s">
        <v>231</v>
      </c>
      <c r="B117" t="s">
        <v>218</v>
      </c>
      <c r="C117" t="s">
        <v>45</v>
      </c>
      <c r="D117" s="2">
        <v>5000</v>
      </c>
      <c r="E117" s="2">
        <v>672795</v>
      </c>
      <c r="F117" s="2">
        <v>3734090</v>
      </c>
      <c r="G117" s="11">
        <v>57.79</v>
      </c>
      <c r="H117" t="s">
        <v>265</v>
      </c>
      <c r="I117" t="s">
        <v>260</v>
      </c>
      <c r="J117" t="s">
        <v>447</v>
      </c>
      <c r="K117" s="9">
        <v>6</v>
      </c>
      <c r="L117" s="9">
        <v>6</v>
      </c>
      <c r="M117">
        <v>111</v>
      </c>
      <c r="N117" s="6">
        <v>2</v>
      </c>
      <c r="O117" s="16">
        <f t="shared" si="3"/>
        <v>27.323728247619041</v>
      </c>
      <c r="P117" s="3">
        <v>52949</v>
      </c>
      <c r="Q117" s="10">
        <v>10</v>
      </c>
      <c r="AB117" t="s">
        <v>448</v>
      </c>
      <c r="AC117">
        <f>-7+2+6</f>
        <v>1</v>
      </c>
      <c r="AF117" t="s">
        <v>449</v>
      </c>
    </row>
    <row r="118" spans="1:32" x14ac:dyDescent="0.55000000000000004">
      <c r="A118" t="s">
        <v>219</v>
      </c>
      <c r="B118" t="s">
        <v>220</v>
      </c>
      <c r="C118" t="s">
        <v>128</v>
      </c>
      <c r="D118" s="2">
        <v>10290</v>
      </c>
      <c r="E118" s="10">
        <f>(8622698+44756*2)/3</f>
        <v>2904070</v>
      </c>
      <c r="F118" s="10">
        <f>8622698*2+44756</f>
        <v>17290152</v>
      </c>
      <c r="G118" s="11">
        <v>100</v>
      </c>
      <c r="H118" t="s">
        <v>250</v>
      </c>
      <c r="I118" t="s">
        <v>170</v>
      </c>
      <c r="J118" s="3" t="s">
        <v>306</v>
      </c>
      <c r="K118" s="3">
        <v>0</v>
      </c>
      <c r="L118" s="3">
        <v>0</v>
      </c>
      <c r="M118">
        <v>112</v>
      </c>
      <c r="N118" s="7">
        <v>1</v>
      </c>
      <c r="O118" s="16">
        <f t="shared" si="3"/>
        <v>-57.396281295238083</v>
      </c>
      <c r="P118" s="3">
        <v>63545</v>
      </c>
      <c r="Q118" s="10">
        <v>10</v>
      </c>
      <c r="AB118" t="s">
        <v>450</v>
      </c>
      <c r="AC118">
        <f>-15-0-18</f>
        <v>-33</v>
      </c>
      <c r="AF118" t="s">
        <v>451</v>
      </c>
    </row>
    <row r="119" spans="1:32" x14ac:dyDescent="0.55000000000000004">
      <c r="A119" t="s">
        <v>221</v>
      </c>
      <c r="B119" t="s">
        <v>30</v>
      </c>
      <c r="C119" t="s">
        <v>31</v>
      </c>
      <c r="D119" s="2">
        <v>4800</v>
      </c>
      <c r="E119" s="2">
        <v>308626</v>
      </c>
      <c r="F119" s="2">
        <v>2150706</v>
      </c>
      <c r="G119" s="11">
        <v>53.22</v>
      </c>
      <c r="H119" t="s">
        <v>265</v>
      </c>
      <c r="I119" t="s">
        <v>262</v>
      </c>
      <c r="J119" s="3" t="s">
        <v>306</v>
      </c>
      <c r="K119" s="9">
        <v>12</v>
      </c>
      <c r="L119" s="3">
        <v>0</v>
      </c>
      <c r="M119">
        <v>113</v>
      </c>
      <c r="N119" s="7">
        <v>1.5</v>
      </c>
      <c r="O119" s="16">
        <f t="shared" si="3"/>
        <v>11.578859375238091</v>
      </c>
      <c r="P119">
        <v>55376</v>
      </c>
      <c r="Q119" s="10">
        <v>10</v>
      </c>
      <c r="AF119" t="s">
        <v>338</v>
      </c>
    </row>
  </sheetData>
  <sortState ref="A2:AG119">
    <sortCondition ref="M2:M11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2018-01-25T17:31:17Z</dcterms:created>
  <dcterms:modified xsi:type="dcterms:W3CDTF">2018-07-31T18:12:46Z</dcterms:modified>
</cp:coreProperties>
</file>