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3135" yWindow="75" windowWidth="19440" windowHeight="15315"/>
  </bookViews>
  <sheets>
    <sheet name="Sheet1" sheetId="1" r:id="rId1"/>
  </sheets>
  <calcPr calcId="145621" concurrentCalc="0"/>
</workbook>
</file>

<file path=xl/calcChain.xml><?xml version="1.0" encoding="utf-8"?>
<calcChain xmlns="http://schemas.openxmlformats.org/spreadsheetml/2006/main">
  <c r="AU79" i="1" l="1"/>
  <c r="AV79" i="1"/>
  <c r="AX79" i="1"/>
  <c r="AW79" i="1"/>
  <c r="AQ79" i="1"/>
  <c r="AR79" i="1"/>
  <c r="AT79" i="1"/>
  <c r="AS79" i="1"/>
  <c r="AM79" i="1"/>
  <c r="AN79" i="1"/>
  <c r="AP79" i="1"/>
  <c r="AO79" i="1"/>
  <c r="AH79" i="1"/>
  <c r="E79" i="1"/>
  <c r="AU75" i="1"/>
  <c r="AV75" i="1"/>
  <c r="AH75" i="1"/>
  <c r="AX75" i="1"/>
  <c r="AW75" i="1"/>
  <c r="AQ75" i="1"/>
  <c r="AR75" i="1"/>
  <c r="AT75" i="1"/>
  <c r="AS75" i="1"/>
  <c r="AM75" i="1"/>
  <c r="AN75" i="1"/>
  <c r="AP75" i="1"/>
  <c r="AO75" i="1"/>
  <c r="AK75" i="1"/>
  <c r="AL75" i="1"/>
  <c r="E75" i="1"/>
  <c r="E74" i="1"/>
  <c r="E76" i="1"/>
  <c r="E77" i="1"/>
  <c r="E78" i="1"/>
  <c r="E80" i="1"/>
  <c r="E81" i="1"/>
  <c r="E82" i="1"/>
  <c r="E83" i="1"/>
  <c r="E85" i="1"/>
  <c r="E84" i="1"/>
  <c r="E87" i="1"/>
  <c r="E91" i="1"/>
  <c r="E86" i="1"/>
  <c r="E92" i="1"/>
  <c r="E94" i="1"/>
  <c r="E89" i="1"/>
  <c r="E90" i="1"/>
  <c r="E88" i="1"/>
  <c r="E95" i="1"/>
  <c r="E99" i="1"/>
  <c r="E93" i="1"/>
  <c r="E98" i="1"/>
  <c r="E97" i="1"/>
  <c r="E96" i="1"/>
  <c r="E73" i="1"/>
  <c r="E15" i="1"/>
  <c r="E19" i="1"/>
  <c r="E22" i="1"/>
  <c r="E27" i="1"/>
  <c r="E33" i="1"/>
  <c r="E34" i="1"/>
  <c r="E45" i="1"/>
  <c r="E60" i="1"/>
  <c r="E61" i="1"/>
  <c r="E62" i="1"/>
  <c r="E63" i="1"/>
  <c r="E10" i="1"/>
  <c r="E3" i="1"/>
  <c r="E4" i="1"/>
  <c r="E5" i="1"/>
  <c r="E20" i="1"/>
  <c r="E9" i="1"/>
  <c r="E8" i="1"/>
  <c r="E11" i="1"/>
  <c r="E14" i="1"/>
  <c r="E26" i="1"/>
  <c r="E17" i="1"/>
  <c r="E16" i="1"/>
  <c r="E23" i="1"/>
  <c r="E29" i="1"/>
  <c r="E24" i="1"/>
  <c r="E18" i="1"/>
  <c r="E40" i="1"/>
  <c r="E49" i="1"/>
  <c r="E30" i="1"/>
  <c r="E35" i="1"/>
  <c r="E12" i="1"/>
  <c r="E50" i="1"/>
  <c r="E36" i="1"/>
  <c r="E38" i="1"/>
  <c r="E44" i="1"/>
  <c r="E41" i="1"/>
  <c r="E25" i="1"/>
  <c r="E48" i="1"/>
  <c r="E31" i="1"/>
  <c r="E37" i="1"/>
  <c r="E28" i="1"/>
  <c r="E55" i="1"/>
  <c r="E46" i="1"/>
  <c r="E52" i="1"/>
  <c r="E42" i="1"/>
  <c r="E53" i="1"/>
  <c r="E47" i="1"/>
  <c r="E54" i="1"/>
  <c r="E58" i="1"/>
  <c r="E59" i="1"/>
  <c r="E56" i="1"/>
  <c r="E57" i="1"/>
  <c r="E39" i="1"/>
  <c r="E13" i="1"/>
  <c r="E21" i="1"/>
  <c r="E43" i="1"/>
  <c r="E51" i="1"/>
  <c r="E32" i="1"/>
  <c r="E7" i="1"/>
  <c r="AH63" i="1"/>
  <c r="AH62" i="1"/>
  <c r="AH61" i="1"/>
  <c r="AH60" i="1"/>
  <c r="AH45" i="1"/>
  <c r="AH34" i="1"/>
  <c r="AH33" i="1"/>
  <c r="AH27" i="1"/>
  <c r="AH22" i="1"/>
  <c r="AH19" i="1"/>
  <c r="AH15" i="1"/>
  <c r="AH10" i="1"/>
  <c r="AH7" i="1"/>
  <c r="AH47" i="1"/>
  <c r="AH38" i="1"/>
  <c r="AH30" i="1"/>
  <c r="AH18" i="1"/>
  <c r="AH23" i="1"/>
  <c r="AH26" i="1"/>
  <c r="AH11" i="1"/>
  <c r="AH9" i="1"/>
  <c r="AH20" i="1"/>
  <c r="AH14" i="1"/>
  <c r="AH46" i="1"/>
  <c r="AH32" i="1"/>
  <c r="AH4" i="1"/>
  <c r="AH3" i="1"/>
  <c r="AH51" i="1"/>
  <c r="AH43" i="1"/>
  <c r="AH21" i="1"/>
  <c r="AH13" i="1"/>
  <c r="AH57" i="1"/>
  <c r="AH58" i="1"/>
  <c r="AH28" i="1"/>
  <c r="AH48" i="1"/>
  <c r="AH25" i="1"/>
  <c r="AH50" i="1"/>
  <c r="AH35" i="1"/>
  <c r="AH49" i="1"/>
  <c r="AH24" i="1"/>
  <c r="AH5" i="1"/>
  <c r="AH12" i="1"/>
  <c r="AU36" i="1"/>
  <c r="AV36" i="1"/>
  <c r="AX36" i="1"/>
  <c r="AW36" i="1"/>
  <c r="AQ36" i="1"/>
  <c r="AR36" i="1"/>
  <c r="AT36" i="1"/>
  <c r="AS36" i="1"/>
  <c r="AM36" i="1"/>
  <c r="AN36" i="1"/>
  <c r="AP36" i="1"/>
  <c r="AO36" i="1"/>
  <c r="AH36" i="1"/>
  <c r="AH53" i="1"/>
  <c r="AH56" i="1"/>
  <c r="AH42" i="1"/>
  <c r="AH59" i="1"/>
  <c r="AU54" i="1"/>
  <c r="AV54" i="1"/>
  <c r="AX54" i="1"/>
  <c r="AW54" i="1"/>
  <c r="AQ54" i="1"/>
  <c r="AR54" i="1"/>
  <c r="AT54" i="1"/>
  <c r="AS54" i="1"/>
  <c r="AM54" i="1"/>
  <c r="AN54" i="1"/>
  <c r="AP54" i="1"/>
  <c r="AO54" i="1"/>
  <c r="AH54" i="1"/>
  <c r="AU17" i="1"/>
  <c r="AV17" i="1"/>
  <c r="AH17" i="1"/>
  <c r="AX17" i="1"/>
  <c r="AW17" i="1"/>
  <c r="AQ17" i="1"/>
  <c r="AR17" i="1"/>
  <c r="AT17" i="1"/>
  <c r="AS17" i="1"/>
  <c r="AM17" i="1"/>
  <c r="AN17" i="1"/>
  <c r="AP17" i="1"/>
  <c r="AO17" i="1"/>
  <c r="AU16" i="1"/>
  <c r="AV16" i="1"/>
  <c r="AX16" i="1"/>
  <c r="AW16" i="1"/>
  <c r="AQ16" i="1"/>
  <c r="AR16" i="1"/>
  <c r="AT16" i="1"/>
  <c r="AS16" i="1"/>
  <c r="AM16" i="1"/>
  <c r="AN16" i="1"/>
  <c r="AP16" i="1"/>
  <c r="AO16" i="1"/>
  <c r="AH16" i="1"/>
  <c r="AU37" i="1"/>
  <c r="AV37" i="1"/>
  <c r="AX37" i="1"/>
  <c r="AW37" i="1"/>
  <c r="AQ37" i="1"/>
  <c r="AR37" i="1"/>
  <c r="AT37" i="1"/>
  <c r="AS37" i="1"/>
  <c r="AM37" i="1"/>
  <c r="AN37" i="1"/>
  <c r="AP37" i="1"/>
  <c r="AO37" i="1"/>
  <c r="AH37" i="1"/>
  <c r="AU8" i="1"/>
  <c r="AV8" i="1"/>
  <c r="AH8" i="1"/>
  <c r="AX8" i="1"/>
  <c r="AW8" i="1"/>
  <c r="AQ8" i="1"/>
  <c r="AR8" i="1"/>
  <c r="AT8" i="1"/>
  <c r="AS8" i="1"/>
  <c r="AM8" i="1"/>
  <c r="AN8" i="1"/>
  <c r="AP8" i="1"/>
  <c r="AO8" i="1"/>
  <c r="AU29" i="1"/>
  <c r="AV29" i="1"/>
  <c r="AX29" i="1"/>
  <c r="AW29" i="1"/>
  <c r="AQ29" i="1"/>
  <c r="AR29" i="1"/>
  <c r="AT29" i="1"/>
  <c r="AS29" i="1"/>
  <c r="AM29" i="1"/>
  <c r="AN29" i="1"/>
  <c r="AP29" i="1"/>
  <c r="AO29" i="1"/>
  <c r="AH29" i="1"/>
  <c r="AU41" i="1"/>
  <c r="AV41" i="1"/>
  <c r="AH41" i="1"/>
  <c r="AX41" i="1"/>
  <c r="AW41" i="1"/>
  <c r="AQ41" i="1"/>
  <c r="AR41" i="1"/>
  <c r="AT41" i="1"/>
  <c r="AS41" i="1"/>
  <c r="AM41" i="1"/>
  <c r="AN41" i="1"/>
  <c r="AP41" i="1"/>
  <c r="AO41" i="1"/>
  <c r="AU52" i="1"/>
  <c r="AV52" i="1"/>
  <c r="AH52" i="1"/>
  <c r="AX52" i="1"/>
  <c r="AW52" i="1"/>
  <c r="AQ52" i="1"/>
  <c r="AR52" i="1"/>
  <c r="AT52" i="1"/>
  <c r="AS52" i="1"/>
  <c r="AM52" i="1"/>
  <c r="AN52" i="1"/>
  <c r="AP52" i="1"/>
  <c r="AO52" i="1"/>
  <c r="AU40" i="1"/>
  <c r="AV40" i="1"/>
  <c r="AH40" i="1"/>
  <c r="AX40" i="1"/>
  <c r="AW40" i="1"/>
  <c r="AQ40" i="1"/>
  <c r="AR40" i="1"/>
  <c r="AT40" i="1"/>
  <c r="AS40" i="1"/>
  <c r="AM40" i="1"/>
  <c r="AN40" i="1"/>
  <c r="AP40" i="1"/>
  <c r="AO40" i="1"/>
  <c r="AU6" i="1"/>
  <c r="AV6" i="1"/>
  <c r="AH6" i="1"/>
  <c r="AX6" i="1"/>
  <c r="AW6" i="1"/>
  <c r="AQ6" i="1"/>
  <c r="AR6" i="1"/>
  <c r="AT6" i="1"/>
  <c r="AS6" i="1"/>
  <c r="AM6" i="1"/>
  <c r="AN6" i="1"/>
  <c r="AP6" i="1"/>
  <c r="AO6" i="1"/>
  <c r="AK6" i="1"/>
  <c r="AL6" i="1"/>
  <c r="E6" i="1"/>
</calcChain>
</file>

<file path=xl/sharedStrings.xml><?xml version="1.0" encoding="utf-8"?>
<sst xmlns="http://schemas.openxmlformats.org/spreadsheetml/2006/main" count="1280" uniqueCount="476">
  <si>
    <t>USMLE only; 215, 220</t>
  </si>
  <si>
    <t>New York- Manhattan</t>
  </si>
  <si>
    <t>East Meadow- Long Island</t>
  </si>
  <si>
    <t>Great Neck- Long Island</t>
  </si>
  <si>
    <t>New York- Northeast of NYC</t>
  </si>
  <si>
    <t>New York- Harlem</t>
  </si>
  <si>
    <t>Northport- Long Island</t>
  </si>
  <si>
    <t>Edison- SW of Newark</t>
  </si>
  <si>
    <t>Philadelphia- Northside</t>
  </si>
  <si>
    <t>Philadelphia- Downtown</t>
  </si>
  <si>
    <t>Dallas- North</t>
  </si>
  <si>
    <t>Dallas- Northwest</t>
  </si>
  <si>
    <t>9/20,10/3</t>
    <phoneticPr fontId="2" type="noConversion"/>
  </si>
  <si>
    <t>Univ of South Florida</t>
  </si>
  <si>
    <t>9/30,10/4</t>
    <phoneticPr fontId="2" type="noConversion"/>
  </si>
  <si>
    <t>10/11,10/21</t>
    <phoneticPr fontId="2" type="noConversion"/>
  </si>
  <si>
    <t>9/18,9/27</t>
    <phoneticPr fontId="2" type="noConversion"/>
  </si>
  <si>
    <t>9/18,9/27</t>
    <phoneticPr fontId="2" type="noConversion"/>
  </si>
  <si>
    <t>USMLE Step 1/2 220</t>
  </si>
  <si>
    <t>PAID/SHARE</t>
  </si>
  <si>
    <t>**Northeast</t>
    <phoneticPr fontId="2" type="noConversion"/>
  </si>
  <si>
    <t>USNews</t>
    <phoneticPr fontId="2" type="noConversion"/>
  </si>
  <si>
    <t>Univ of Alabama Birmingham</t>
    <phoneticPr fontId="2" type="noConversion"/>
  </si>
  <si>
    <t>City</t>
    <phoneticPr fontId="2" type="noConversion"/>
  </si>
  <si>
    <t>Birmingham</t>
    <phoneticPr fontId="2" type="noConversion"/>
  </si>
  <si>
    <t>Emphasis</t>
    <phoneticPr fontId="2" type="noConversion"/>
  </si>
  <si>
    <t>Peds, Spine, Pain/Peds</t>
  </si>
  <si>
    <t>McGaw Med Center of Northwestern Univ/ RIC</t>
    <phoneticPr fontId="2" type="noConversion"/>
  </si>
  <si>
    <t>Charlestown- Bunker Hill,</t>
    <phoneticPr fontId="2" type="noConversion"/>
  </si>
  <si>
    <t>Overall</t>
    <phoneticPr fontId="2" type="noConversion"/>
  </si>
  <si>
    <t>outpt</t>
    <phoneticPr fontId="2" type="noConversion"/>
  </si>
  <si>
    <t>10/15,10/23</t>
    <phoneticPr fontId="2" type="noConversion"/>
  </si>
  <si>
    <t xml:space="preserve">Baylor COM (Houston) </t>
    <phoneticPr fontId="2" type="noConversion"/>
  </si>
  <si>
    <t>**Sugar Land</t>
    <phoneticPr fontId="2" type="noConversion"/>
  </si>
  <si>
    <t>10/15,10/23</t>
    <phoneticPr fontId="2" type="noConversion"/>
  </si>
  <si>
    <t>10/11,10/21</t>
    <phoneticPr fontId="2" type="noConversion"/>
  </si>
  <si>
    <t>**Narberth, Wayne, Wynnewood, Wallingford</t>
    <phoneticPr fontId="2" type="noConversion"/>
  </si>
  <si>
    <t>**Washington Township</t>
    <phoneticPr fontId="2" type="noConversion"/>
  </si>
  <si>
    <t>outpt</t>
    <phoneticPr fontId="2" type="noConversion"/>
  </si>
  <si>
    <t>Plano, Grand Prairie, Irving, Garland, Arlington, Dallas</t>
    <phoneticPr fontId="2" type="noConversion"/>
  </si>
  <si>
    <t>MD</t>
    <phoneticPr fontId="2" type="noConversion"/>
  </si>
  <si>
    <t>Louisville</t>
    <phoneticPr fontId="2" type="noConversion"/>
  </si>
  <si>
    <t>Madison</t>
    <phoneticPr fontId="2" type="noConversion"/>
  </si>
  <si>
    <t>Oct-Jan</t>
  </si>
  <si>
    <t>4,4,4,4</t>
  </si>
  <si>
    <t>PGY1 COL</t>
    <phoneticPr fontId="2" type="noConversion"/>
  </si>
  <si>
    <t>PGY2 COL</t>
    <phoneticPr fontId="2" type="noConversion"/>
  </si>
  <si>
    <t>PGY3 COL</t>
    <phoneticPr fontId="2" type="noConversion"/>
  </si>
  <si>
    <t>PGY4 COL</t>
    <phoneticPr fontId="2" type="noConversion"/>
  </si>
  <si>
    <t>COL+BAH</t>
    <phoneticPr fontId="2" type="noConversion"/>
  </si>
  <si>
    <t>Max</t>
    <phoneticPr fontId="2" type="noConversion"/>
  </si>
  <si>
    <t>6,8,6</t>
  </si>
  <si>
    <t>USMLE 220, COMLEX 440</t>
  </si>
  <si>
    <t>University of Rochester Program</t>
  </si>
  <si>
    <t>mixed</t>
    <phoneticPr fontId="2" type="noConversion"/>
  </si>
  <si>
    <t>SUNY at Stony Brook</t>
  </si>
  <si>
    <t>Aff- Sports med, research; Non-aff- Spine, Informatics, pain, SCI</t>
  </si>
  <si>
    <t>after 12m</t>
  </si>
  <si>
    <t>Sept</t>
  </si>
  <si>
    <t>MO</t>
  </si>
  <si>
    <t>Program</t>
  </si>
  <si>
    <t>State</t>
  </si>
  <si>
    <t>4,4,4</t>
  </si>
  <si>
    <t>Oct 1-Jan 1</t>
  </si>
  <si>
    <t>%DO</t>
  </si>
  <si>
    <t>8,8,8,8</t>
  </si>
  <si>
    <t>9/24,10/15</t>
    <phoneticPr fontId="2" type="noConversion"/>
  </si>
  <si>
    <t>Nov 6-Jan 24</t>
  </si>
  <si>
    <t>USMLE 1 190, COMLEX 1 450</t>
  </si>
  <si>
    <t>San Antonio</t>
  </si>
  <si>
    <t>5,5,5</t>
  </si>
  <si>
    <t>Nov 1-Jan 1</t>
  </si>
  <si>
    <t>no</t>
  </si>
  <si>
    <t>paid</t>
  </si>
  <si>
    <t>Maywood</t>
  </si>
  <si>
    <t>0,3,3,3</t>
  </si>
  <si>
    <t>Min USMLE 1st- 182, Min Comlex 1st- 400</t>
  </si>
  <si>
    <t>Disab ins</t>
  </si>
  <si>
    <t>paid/share</t>
  </si>
  <si>
    <t>not paid</t>
  </si>
  <si>
    <t>Indianapolis</t>
  </si>
  <si>
    <t>3,4,3</t>
  </si>
  <si>
    <t>Nov 15-Dec 31</t>
  </si>
  <si>
    <t>USMLE 1 185, COMLEX 1 400</t>
  </si>
  <si>
    <t>PAID/AV</t>
  </si>
  <si>
    <t>Oct 1- Feb 1</t>
  </si>
  <si>
    <t>Nov 1-Jan 15</t>
  </si>
  <si>
    <t>4,4,4,3</t>
  </si>
  <si>
    <t>aff- Pain (Spine, Gen MSK, Sports Med); nonaff- SCI</t>
  </si>
  <si>
    <t>paid/?</t>
  </si>
  <si>
    <t>aff-NM/EMG, Sports Med; nonaff- Peds</t>
  </si>
  <si>
    <t>Nov-Jan</t>
  </si>
  <si>
    <t>USMLE STEP 1 required- 200 on first try</t>
  </si>
  <si>
    <t>Aff- Peds, SM, Pain; non- Clinical Neurophysiology</t>
  </si>
  <si>
    <t>3 yr program available</t>
  </si>
  <si>
    <t>5,5,4</t>
  </si>
  <si>
    <t>PGY-2 based on availability</t>
  </si>
  <si>
    <t>4,6,7,7</t>
  </si>
  <si>
    <t>PGY-1 call/wk</t>
  </si>
  <si>
    <t>PGY-2 call/wk</t>
  </si>
  <si>
    <t>PGY-3 call/wk</t>
  </si>
  <si>
    <t>PGY-4 call/wk</t>
  </si>
  <si>
    <t>none</t>
  </si>
  <si>
    <t>Minneapolis</t>
    <phoneticPr fontId="2" type="noConversion"/>
  </si>
  <si>
    <t>Min USMLE step 1- 190. two score min- 80</t>
  </si>
  <si>
    <t>Los Angeles- Beverly Hills</t>
  </si>
  <si>
    <t>Redwood City- South SF</t>
  </si>
  <si>
    <t>Wheaton- West of Chicago</t>
  </si>
  <si>
    <t>Chicago- Westside</t>
  </si>
  <si>
    <t>Houston- Southwest</t>
  </si>
  <si>
    <t>Ann Arbor- expensive</t>
  </si>
  <si>
    <t>Loma Linda</t>
  </si>
  <si>
    <t>4,4,5,5</t>
  </si>
  <si>
    <t>Nov 15-Jan 30</t>
  </si>
  <si>
    <t>Stanford Univ</t>
  </si>
  <si>
    <t>Nov 15-Jan 5</t>
  </si>
  <si>
    <t>DO ONLY</t>
  </si>
  <si>
    <t>USMLE 1/2 182, COMLEX 1/2 400</t>
  </si>
  <si>
    <t>Minneapolis</t>
  </si>
  <si>
    <t>Charlottesville</t>
  </si>
  <si>
    <t>2,4,4,4</t>
  </si>
  <si>
    <t>VA Greater LA</t>
  </si>
  <si>
    <t>Loma Linda Univ</t>
  </si>
  <si>
    <t>Univ of Colorado</t>
  </si>
  <si>
    <t>Walt Reed</t>
  </si>
  <si>
    <t>National Rehab Hosp/Washington Hospital/Georgetown</t>
  </si>
  <si>
    <t>DC</t>
  </si>
  <si>
    <t>Sinai Hospital of Balt</t>
    <phoneticPr fontId="2" type="noConversion"/>
  </si>
  <si>
    <t>Jackson Memorial Hospital</t>
  </si>
  <si>
    <t>Emory University</t>
  </si>
  <si>
    <t>Rush Univ</t>
  </si>
  <si>
    <t>Seattle</t>
  </si>
  <si>
    <t>SHARE/SHARE</t>
  </si>
  <si>
    <t>St. Louis</t>
  </si>
  <si>
    <t>2,6,4,4</t>
  </si>
  <si>
    <t>Oct 15-Dec 31</t>
  </si>
  <si>
    <t>PAID</t>
  </si>
  <si>
    <t>Columbia</t>
  </si>
  <si>
    <t>3,9,8,10</t>
  </si>
  <si>
    <t>USMLE 1 200, COMLEX 1 500</t>
  </si>
  <si>
    <t>Milwaukee</t>
  </si>
  <si>
    <t>Madison</t>
  </si>
  <si>
    <t>USMLE 1 200, COMLEX 1 400</t>
  </si>
  <si>
    <t>Pain</t>
  </si>
  <si>
    <t>SCI</t>
  </si>
  <si>
    <t>Peds</t>
  </si>
  <si>
    <t>paid/paid</t>
  </si>
  <si>
    <t>Albany</t>
  </si>
  <si>
    <t>2,2,2,2</t>
  </si>
  <si>
    <t>Sep 30-Feb 15</t>
  </si>
  <si>
    <t>AOA accredited</t>
  </si>
  <si>
    <t>Michigan State Univ</t>
  </si>
  <si>
    <t>Mayo Clinic COM (Rochester)</t>
  </si>
  <si>
    <t>Washington Univ/B-JH/SLCH</t>
  </si>
  <si>
    <t xml:space="preserve"> Boston, **Burlington, Wakefield, Wellesley</t>
    <phoneticPr fontId="2" type="noConversion"/>
  </si>
  <si>
    <t>Spine, SCI</t>
  </si>
  <si>
    <t>Spine/Sports Med, MSK, Peds, Research, SCI, Stroke</t>
  </si>
  <si>
    <t>IM</t>
  </si>
  <si>
    <t>Informatics</t>
  </si>
  <si>
    <t xml:space="preserve">Spine, Sports Med, Research, Rehab psych &amp; Neurophys, </t>
  </si>
  <si>
    <t>NO (SUBS)</t>
  </si>
  <si>
    <t>Brooklyn</t>
  </si>
  <si>
    <t>SUNY Upstate</t>
  </si>
  <si>
    <t>Univ of Cinci</t>
  </si>
  <si>
    <t>Inhouse call</t>
  </si>
  <si>
    <t>No</t>
  </si>
  <si>
    <t>Yes</t>
  </si>
  <si>
    <t>3,3,3,3</t>
  </si>
  <si>
    <t>8,8,8</t>
  </si>
  <si>
    <t>2,6,6,6</t>
  </si>
  <si>
    <t>USMLE 1 196, COMLEX 1 500</t>
  </si>
  <si>
    <t>Toledo</t>
  </si>
  <si>
    <t>Oct 1-Jan 15</t>
  </si>
  <si>
    <t>USMLE 1/2 190</t>
  </si>
  <si>
    <t>LA</t>
  </si>
  <si>
    <t>MA</t>
  </si>
  <si>
    <t>MI</t>
  </si>
  <si>
    <t>MN</t>
  </si>
  <si>
    <t>**Ivy, Crozet</t>
  </si>
  <si>
    <t>**Bon Air</t>
  </si>
  <si>
    <t>SCI, TBI</t>
  </si>
  <si>
    <t>%IMG</t>
  </si>
  <si>
    <t>% Male</t>
  </si>
  <si>
    <t>1st hr/wk</t>
  </si>
  <si>
    <t>max conseq 1st</t>
  </si>
  <si>
    <t>days off/wk</t>
  </si>
  <si>
    <t>1st yr $</t>
  </si>
  <si>
    <t>2nd yr $</t>
  </si>
  <si>
    <t>3rd yr $</t>
  </si>
  <si>
    <t>Cincinnati</t>
  </si>
  <si>
    <t>Nov 1-Jan 5</t>
  </si>
  <si>
    <t>Cleveland</t>
  </si>
  <si>
    <t>3,6,6,5</t>
  </si>
  <si>
    <t>Oct 20-Jan 19</t>
  </si>
  <si>
    <t>USMLE 1/2 195, COMLEX 1/2 475</t>
  </si>
  <si>
    <t>Philadelphia</t>
  </si>
  <si>
    <t>10,9.10</t>
  </si>
  <si>
    <t>Oct 1-Dec 31</t>
  </si>
  <si>
    <t>Oct 23-Jan 15</t>
  </si>
  <si>
    <t>4,6,6,6</t>
  </si>
  <si>
    <t>Pittsburgh</t>
  </si>
  <si>
    <t>4,9,10,11</t>
  </si>
  <si>
    <t>Oct 15-Jan 20</t>
  </si>
  <si>
    <t>USMLE 1 196, USMLE 2 203</t>
  </si>
  <si>
    <t>San Juan</t>
  </si>
  <si>
    <t>Austin</t>
  </si>
  <si>
    <t>9,9,9</t>
  </si>
  <si>
    <t>Univ of Texas SW (Austin)</t>
  </si>
  <si>
    <t>NO(SUBS)</t>
  </si>
  <si>
    <t>Salt Lake City</t>
  </si>
  <si>
    <t>3,4,5,5</t>
  </si>
  <si>
    <t>Nov 1-Jan 17</t>
  </si>
  <si>
    <t>USMLE 1/2 200</t>
  </si>
  <si>
    <t>Richmond</t>
  </si>
  <si>
    <t>Virginia Commonwealth</t>
  </si>
  <si>
    <t>Eastern Virginia</t>
  </si>
  <si>
    <t>Norfolk</t>
  </si>
  <si>
    <t>Oct 1-Jan 30</t>
  </si>
  <si>
    <t>New Orleans</t>
  </si>
  <si>
    <t>Sacramento</t>
  </si>
  <si>
    <t>8,9,8</t>
  </si>
  <si>
    <t>Oct 1-Jan 31</t>
  </si>
  <si>
    <t>AR</t>
  </si>
  <si>
    <t>CA</t>
  </si>
  <si>
    <t>CO</t>
  </si>
  <si>
    <t>MD</t>
  </si>
  <si>
    <t>FL</t>
  </si>
  <si>
    <t>Univ of Minnesota</t>
  </si>
  <si>
    <t>Oct 25-Jan 12</t>
  </si>
  <si>
    <t>**Narberth, Wayne, Wynnewood, Wallingford</t>
    <phoneticPr fontId="2" type="noConversion"/>
  </si>
  <si>
    <t>4,5,5,4</t>
  </si>
  <si>
    <t>Nov 15-Jan 10</t>
  </si>
  <si>
    <t>USMLE 1-2 200, COMLEX 1-2 450</t>
  </si>
  <si>
    <t>Rochester</t>
  </si>
  <si>
    <t>8,8,7</t>
  </si>
  <si>
    <t>Nov 11-Dec 16</t>
  </si>
  <si>
    <t>USMLE 1-2  200, COMLEX 1-2 480</t>
  </si>
  <si>
    <t>Univ of Arkansas</t>
  </si>
  <si>
    <t>Univ of Cali (Davis)</t>
  </si>
  <si>
    <t>none</t>
    <phoneticPr fontId="2" type="noConversion"/>
  </si>
  <si>
    <t>William Beaumont Hosp</t>
    <phoneticPr fontId="2" type="noConversion"/>
  </si>
  <si>
    <t>10/6,10/9,10/15</t>
    <phoneticPr fontId="2" type="noConversion"/>
  </si>
  <si>
    <t>Sep 1-Jan 31</t>
  </si>
  <si>
    <t>SHARE</t>
  </si>
  <si>
    <t>Newark</t>
  </si>
  <si>
    <t>Univ of Missouri-Columbia</t>
  </si>
  <si>
    <t>JFK Medical Center</t>
  </si>
  <si>
    <t>NJ</t>
  </si>
  <si>
    <t>Oct 15-Jan 30</t>
  </si>
  <si>
    <t>Bronx</t>
  </si>
  <si>
    <t>7,7,7</t>
  </si>
  <si>
    <t>USMLE STEP 1 188</t>
  </si>
  <si>
    <t>PAID/PAID</t>
  </si>
  <si>
    <t>14,13,14</t>
  </si>
  <si>
    <t>NY Med College (Metropolitan)</t>
  </si>
  <si>
    <t>SUNY- Brooklyn</t>
  </si>
  <si>
    <t>Kingsbrook Jewish Med Center</t>
  </si>
  <si>
    <t>Vidant Med Center/ECU</t>
  </si>
  <si>
    <t>NC</t>
  </si>
  <si>
    <t>Carolinas Med Center</t>
  </si>
  <si>
    <t>UNC</t>
  </si>
  <si>
    <t>OSU</t>
  </si>
  <si>
    <t>OH</t>
  </si>
  <si>
    <t>Univ of Toledo</t>
  </si>
  <si>
    <t>Peds, Outpt</t>
  </si>
  <si>
    <t>aff- Peds; non- Spine</t>
  </si>
  <si>
    <t xml:space="preserve">Spaulding Rehab Hosp/Harvard </t>
  </si>
  <si>
    <t>USMLE 80% percentile</t>
  </si>
  <si>
    <t>2+</t>
  </si>
  <si>
    <t>USMLE 1 200, COMLEX 1 525</t>
  </si>
  <si>
    <t xml:space="preserve">Kirkwood, Webster Groves, Chesterfield, </t>
  </si>
  <si>
    <t>Rocky River, Shaker Heights, Chagrin Falls</t>
  </si>
  <si>
    <t xml:space="preserve">Loyola University </t>
  </si>
  <si>
    <t xml:space="preserve">Tufts Medical Center </t>
  </si>
  <si>
    <t>Orange- Anaheim</t>
  </si>
  <si>
    <t xml:space="preserve">Univ of Cali (Irvine) </t>
  </si>
  <si>
    <t>Dox Ov</t>
  </si>
  <si>
    <t>Dox Sprt</t>
  </si>
  <si>
    <t xml:space="preserve">Univ of Texas(Houston) </t>
  </si>
  <si>
    <t>sick days</t>
  </si>
  <si>
    <t>vac days</t>
  </si>
  <si>
    <t>Little Rock</t>
  </si>
  <si>
    <t>Prog Director</t>
  </si>
  <si>
    <t>Bethesda</t>
  </si>
  <si>
    <t>Washington</t>
  </si>
  <si>
    <t>6,7,6</t>
  </si>
  <si>
    <t>?</t>
  </si>
  <si>
    <t>NOTES</t>
  </si>
  <si>
    <t>Min USMLE step 1- 187</t>
  </si>
  <si>
    <t>NO</t>
  </si>
  <si>
    <t>YES</t>
  </si>
  <si>
    <t>Tampa</t>
  </si>
  <si>
    <t>DO</t>
  </si>
  <si>
    <t>Miami</t>
  </si>
  <si>
    <t>6,6,6</t>
  </si>
  <si>
    <t>Nov 15-Dec 13</t>
  </si>
  <si>
    <t>Atlanta</t>
  </si>
  <si>
    <t>Chicago</t>
  </si>
  <si>
    <t>4,12,12,12</t>
  </si>
  <si>
    <t>NA</t>
  </si>
  <si>
    <t>4th yr $</t>
  </si>
  <si>
    <t>childcare</t>
  </si>
  <si>
    <t>yes</t>
  </si>
  <si>
    <t>share</t>
  </si>
  <si>
    <t>Case Western Reserve Univ</t>
  </si>
  <si>
    <t>Temple Univ/Moss Rehab</t>
  </si>
  <si>
    <t>PA</t>
  </si>
  <si>
    <t>Thomas Jefferson Univ</t>
  </si>
  <si>
    <t>Univ of Penn</t>
  </si>
  <si>
    <t xml:space="preserve">UPMC Med Education </t>
  </si>
  <si>
    <t>Univ of Puerto Rico</t>
  </si>
  <si>
    <t>PR</t>
  </si>
  <si>
    <t>VA Caribbean</t>
  </si>
  <si>
    <t>TX</t>
  </si>
  <si>
    <t>Univ of Texas SW</t>
  </si>
  <si>
    <t>Univ of Texas (San Antonio)</t>
  </si>
  <si>
    <t>Baylor Univ Med Center</t>
  </si>
  <si>
    <t>Univ of Utah</t>
  </si>
  <si>
    <t>UT</t>
  </si>
  <si>
    <t>VA</t>
  </si>
  <si>
    <t>Univ of Virginia</t>
  </si>
  <si>
    <t>University of Washington</t>
  </si>
  <si>
    <t>WA</t>
  </si>
  <si>
    <t>Medical College of Wisconsin</t>
  </si>
  <si>
    <t>Oct 7-Dec 31</t>
  </si>
  <si>
    <t>Min USMLE 1st- 200, Min COMLEX- 400</t>
  </si>
  <si>
    <t>NGO</t>
  </si>
  <si>
    <t>15,20,20</t>
  </si>
  <si>
    <t>Baltimore</t>
  </si>
  <si>
    <t>Nov 1-Jan 30</t>
  </si>
  <si>
    <t>No comment on COMLEX</t>
  </si>
  <si>
    <t>Kansis City</t>
  </si>
  <si>
    <t>3,3,3</t>
  </si>
  <si>
    <t>Sep 27-Jan 17</t>
  </si>
  <si>
    <t xml:space="preserve">NA </t>
  </si>
  <si>
    <t>share/share</t>
  </si>
  <si>
    <t>Louisville</t>
  </si>
  <si>
    <t>2,2,2</t>
  </si>
  <si>
    <t>Oct 1-Jan 10</t>
  </si>
  <si>
    <t>share/no</t>
  </si>
  <si>
    <t>Lexington</t>
  </si>
  <si>
    <t>Taylor</t>
  </si>
  <si>
    <t>4,5,4,4</t>
  </si>
  <si>
    <t>Nov 1-Dec 31</t>
  </si>
  <si>
    <t>USMLE step 1- 200</t>
  </si>
  <si>
    <t>Royal Oak</t>
  </si>
  <si>
    <t>East Lansing</t>
  </si>
  <si>
    <t>WI</t>
  </si>
  <si>
    <t>Univ of Wisconsin</t>
  </si>
  <si>
    <t>AL</t>
  </si>
  <si>
    <t>GA</t>
  </si>
  <si>
    <t>IL</t>
  </si>
  <si>
    <t>IN</t>
  </si>
  <si>
    <t>KS</t>
  </si>
  <si>
    <t>KY</t>
  </si>
  <si>
    <t>Chicago- Westside</t>
    <phoneticPr fontId="2" type="noConversion"/>
  </si>
  <si>
    <t>Aurora</t>
  </si>
  <si>
    <t>Nov 4-Dec 30</t>
  </si>
  <si>
    <t>Nov 1-Feb 15</t>
  </si>
  <si>
    <t>outpt</t>
    <phoneticPr fontId="2" type="noConversion"/>
  </si>
  <si>
    <t>inpt</t>
    <phoneticPr fontId="2" type="noConversion"/>
  </si>
  <si>
    <t>mixed</t>
    <phoneticPr fontId="2" type="noConversion"/>
  </si>
  <si>
    <t>mixed</t>
    <phoneticPr fontId="2" type="noConversion"/>
  </si>
  <si>
    <t>COL overall</t>
    <phoneticPr fontId="2" type="noConversion"/>
  </si>
  <si>
    <t>COL housing</t>
    <phoneticPr fontId="2" type="noConversion"/>
  </si>
  <si>
    <t>TBI, Palliative, Pain, Peds, SCI</t>
    <phoneticPr fontId="2" type="noConversion"/>
  </si>
  <si>
    <t>**Metuchen</t>
    <phoneticPr fontId="2" type="noConversion"/>
  </si>
  <si>
    <t>Marianjoy Rehab</t>
  </si>
  <si>
    <t>Schwab Rehab/Univ of Chi</t>
  </si>
  <si>
    <t>Loyola University</t>
  </si>
  <si>
    <t>Indiana Univ</t>
  </si>
  <si>
    <t>University of Kansas</t>
  </si>
  <si>
    <t>Univ of Louisville</t>
  </si>
  <si>
    <t>Univ of Kentucky</t>
  </si>
  <si>
    <t>LSU</t>
  </si>
  <si>
    <t>John Hopkins Univ</t>
  </si>
  <si>
    <t>Wayne State Univ</t>
  </si>
  <si>
    <t>University of Michigan</t>
  </si>
  <si>
    <t>**North of Beltway</t>
    <phoneticPr fontId="2" type="noConversion"/>
  </si>
  <si>
    <t>**North of Beltway</t>
    <phoneticPr fontId="2" type="noConversion"/>
  </si>
  <si>
    <t>Oct 24-Jan 15</t>
  </si>
  <si>
    <t xml:space="preserve">NO </t>
  </si>
  <si>
    <t>Syracuse</t>
  </si>
  <si>
    <t>Nov 1-Dec 20</t>
  </si>
  <si>
    <t>Greenville</t>
  </si>
  <si>
    <t>5,5,5,5</t>
  </si>
  <si>
    <t>8.9.8</t>
  </si>
  <si>
    <t>Nov 2-Dec 30</t>
  </si>
  <si>
    <t>SHARE/NO</t>
  </si>
  <si>
    <t>5,4,4</t>
  </si>
  <si>
    <t>Oct 13-Jan 12</t>
  </si>
  <si>
    <t>USMLE STEP 1/2 187</t>
  </si>
  <si>
    <t>Charlotte</t>
  </si>
  <si>
    <t>5,6,4</t>
  </si>
  <si>
    <t>Chapel Hill</t>
  </si>
  <si>
    <t>Columbus</t>
  </si>
  <si>
    <t>**South of city- Homewood, Hoover, Mountain Brook</t>
  </si>
  <si>
    <t>**McBaine</t>
  </si>
  <si>
    <t>Charlotte, **Matthews</t>
  </si>
  <si>
    <t>**Sylvania</t>
  </si>
  <si>
    <t>**Dublin</t>
  </si>
  <si>
    <t>Rutgers New Jersey</t>
  </si>
  <si>
    <t>Nassau Univ</t>
  </si>
  <si>
    <t>NY</t>
  </si>
  <si>
    <t>Albany Med Center</t>
  </si>
  <si>
    <t>NY Presbyterian (Columbia/Cornell)</t>
  </si>
  <si>
    <t>NSLIJHS/Hofstra Shore</t>
  </si>
  <si>
    <t>Albert Einstein COM</t>
  </si>
  <si>
    <t>Icahn School of Med Mount Sinai</t>
  </si>
  <si>
    <t>Sports Med, Spine</t>
  </si>
  <si>
    <t>2,3,3,3</t>
  </si>
  <si>
    <t>**Natomas, Roseville, North Sacramento</t>
  </si>
  <si>
    <t>**Rochester</t>
    <phoneticPr fontId="2" type="noConversion"/>
  </si>
  <si>
    <t>**Medical Center, Sugarland</t>
    <phoneticPr fontId="2" type="noConversion"/>
  </si>
  <si>
    <t>McGaw Med Center of Northwestern Univ/ RIC</t>
    <phoneticPr fontId="2" type="noConversion"/>
  </si>
  <si>
    <t>Chicago- Downtown</t>
    <phoneticPr fontId="2" type="noConversion"/>
  </si>
  <si>
    <t>Seattle</t>
    <phoneticPr fontId="2" type="noConversion"/>
  </si>
  <si>
    <t>Aurora, **Wheaton, Geneva</t>
    <phoneticPr fontId="2" type="noConversion"/>
  </si>
  <si>
    <t>10/18,10/24</t>
    <phoneticPr fontId="2" type="noConversion"/>
  </si>
  <si>
    <t>10/7,10/25</t>
    <phoneticPr fontId="2" type="noConversion"/>
  </si>
  <si>
    <t>Aurora</t>
    <phoneticPr fontId="2" type="noConversion"/>
  </si>
  <si>
    <t>9/30,10/8,10/18</t>
    <phoneticPr fontId="2" type="noConversion"/>
  </si>
  <si>
    <t>**Aspinwall</t>
    <phoneticPr fontId="2" type="noConversion"/>
  </si>
  <si>
    <t>9/25,10/2</t>
    <phoneticPr fontId="2" type="noConversion"/>
  </si>
  <si>
    <t>9/20,10/2,10/23</t>
    <phoneticPr fontId="2" type="noConversion"/>
  </si>
  <si>
    <t>Plano, Grand Prairie, Irving, Garland, Arlington, Dallas</t>
    <phoneticPr fontId="2" type="noConversion"/>
  </si>
  <si>
    <t>Glendale</t>
    <phoneticPr fontId="2" type="noConversion"/>
  </si>
  <si>
    <t>outpt</t>
    <phoneticPr fontId="2" type="noConversion"/>
  </si>
  <si>
    <t>**La Grange, Hinsdale</t>
    <phoneticPr fontId="2" type="noConversion"/>
  </si>
  <si>
    <t>Overland Park</t>
    <phoneticPr fontId="2" type="noConversion"/>
  </si>
  <si>
    <t xml:space="preserve">Boston- Downtown </t>
    <phoneticPr fontId="2" type="noConversion"/>
  </si>
  <si>
    <t xml:space="preserve"> Boston, **Burlington, Wakefield, Wellesley</t>
    <phoneticPr fontId="2" type="noConversion"/>
  </si>
  <si>
    <t>inpt</t>
    <phoneticPr fontId="2" type="noConversion"/>
  </si>
  <si>
    <t>Pain</t>
    <phoneticPr fontId="2" type="noConversion"/>
  </si>
  <si>
    <t>**Narberth, Wayne, Wynnewood</t>
    <phoneticPr fontId="2" type="noConversion"/>
  </si>
  <si>
    <t>Pain (ACGME), Peds (ACGME), SCI (ACGME), TBI (Non-ACGME)</t>
    <phoneticPr fontId="2" type="noConversion"/>
  </si>
  <si>
    <t>Pain (ACGME, Peds (ACGME), SCI (ACGME), Research (Non-ACGME)</t>
    <phoneticPr fontId="2" type="noConversion"/>
  </si>
  <si>
    <t>Pain Ijax, AZ, MN; ACGME), Peds (ACGME), SM (Jax, FP; ACGME), SM (PMR; ACGME),</t>
    <phoneticPr fontId="2" type="noConversion"/>
  </si>
  <si>
    <t>Pain/MSK (Non-ACGME)</t>
    <phoneticPr fontId="2" type="noConversion"/>
  </si>
  <si>
    <t>Fellowships</t>
    <phoneticPr fontId="2" type="noConversion"/>
  </si>
  <si>
    <t>SM (FP x2; ACGME),</t>
    <phoneticPr fontId="2" type="noConversion"/>
  </si>
  <si>
    <t>Pain (ACGME), SM (FP; ACGME),</t>
    <phoneticPr fontId="2" type="noConversion"/>
  </si>
  <si>
    <t>**Edgewater, Lincoln Park</t>
    <phoneticPr fontId="2" type="noConversion"/>
  </si>
  <si>
    <t>Fremont</t>
    <phoneticPr fontId="2" type="noConversion"/>
  </si>
  <si>
    <t>Virginia Beach, Chesapeake, Newport News</t>
    <phoneticPr fontId="2" type="noConversion"/>
  </si>
  <si>
    <t>2013 interview issued</t>
  </si>
  <si>
    <t>2012 interview issued</t>
  </si>
  <si>
    <t>Interview dates</t>
  </si>
  <si>
    <t>Position/yr</t>
  </si>
  <si>
    <t># LOR</t>
  </si>
  <si>
    <t>Areas to live</t>
  </si>
  <si>
    <t>Hr lecture/wk</t>
  </si>
  <si>
    <t>outpt clinic %</t>
  </si>
  <si>
    <t>Mont GIB $/mn</t>
  </si>
  <si>
    <t>Post-911 GIB $/mn</t>
  </si>
  <si>
    <t>negotiable</t>
  </si>
  <si>
    <t>Med insur (personal/fam)</t>
  </si>
  <si>
    <t>available</t>
  </si>
  <si>
    <r>
      <t xml:space="preserve">USMLE step 1&amp;2- 200 min, COMLEX 400 min; </t>
    </r>
    <r>
      <rPr>
        <sz val="11"/>
        <color rgb="FFFF0000"/>
        <rFont val="Calibri"/>
        <family val="2"/>
      </rPr>
      <t>D.O. unfriendly</t>
    </r>
  </si>
  <si>
    <t>D.O. unfriendly</t>
  </si>
  <si>
    <t>Advanced programs</t>
  </si>
  <si>
    <t>Categorical programs</t>
  </si>
  <si>
    <r>
      <t>NYU SOM</t>
    </r>
    <r>
      <rPr>
        <i/>
        <sz val="11"/>
        <rFont val="Calibri"/>
        <family val="2"/>
      </rPr>
      <t xml:space="preserve"> (Rusk)</t>
    </r>
  </si>
  <si>
    <t>Doximity Overall</t>
  </si>
  <si>
    <t>Doximity SM</t>
  </si>
  <si>
    <t>if left blank…no rating</t>
  </si>
  <si>
    <t>Mary Free Bed</t>
  </si>
  <si>
    <t>Grand Rapids</t>
  </si>
  <si>
    <t>Burke Rehabilitation Hospital Program</t>
  </si>
  <si>
    <t>White Plains</t>
  </si>
  <si>
    <t>Cleveland Clinic</t>
  </si>
  <si>
    <t>Penn State Hershey</t>
  </si>
  <si>
    <t>Hershey</t>
  </si>
  <si>
    <t>Vanderbilt</t>
  </si>
  <si>
    <t>TN</t>
  </si>
  <si>
    <t>Nashville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</si>
</sst>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Verdana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</font>
    <font>
      <sz val="11"/>
      <color rgb="FFFF0000"/>
      <name val="Calibri"/>
      <family val="2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name val="Calibri"/>
      <family val="2"/>
    </font>
    <font>
      <i/>
      <sz val="11"/>
      <name val="Calibri"/>
      <family val="2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58">
    <xf numFmtId="0" fontId="0" fillId="0" borderId="0" xfId="0"/>
    <xf numFmtId="0" fontId="0" fillId="2" borderId="0" xfId="0" applyFill="1"/>
    <xf numFmtId="0" fontId="0" fillId="0" borderId="0" xfId="0" applyFill="1"/>
    <xf numFmtId="0" fontId="3" fillId="0" borderId="0" xfId="0" applyFont="1" applyFill="1"/>
    <xf numFmtId="0" fontId="1" fillId="0" borderId="0" xfId="0" applyFont="1" applyFill="1"/>
    <xf numFmtId="0" fontId="0" fillId="0" borderId="0" xfId="0" applyAlignment="1">
      <alignment horizontal="right"/>
    </xf>
    <xf numFmtId="0" fontId="0" fillId="0" borderId="0" xfId="0"/>
    <xf numFmtId="0" fontId="0" fillId="0" borderId="0" xfId="0" applyFill="1"/>
    <xf numFmtId="0" fontId="3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3" fillId="0" borderId="0" xfId="1" applyNumberFormat="1" applyFont="1" applyFill="1"/>
    <xf numFmtId="0" fontId="1" fillId="0" borderId="0" xfId="1" applyNumberFormat="1" applyFont="1" applyFill="1"/>
    <xf numFmtId="0" fontId="1" fillId="0" borderId="0" xfId="1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1" fillId="0" borderId="0" xfId="0" applyNumberFormat="1" applyFont="1" applyFill="1" applyAlignment="1">
      <alignment horizontal="right"/>
    </xf>
    <xf numFmtId="0" fontId="3" fillId="0" borderId="0" xfId="0" applyNumberFormat="1" applyFont="1" applyFill="1"/>
    <xf numFmtId="0" fontId="1" fillId="0" borderId="0" xfId="0" applyNumberFormat="1" applyFont="1" applyFill="1"/>
    <xf numFmtId="16" fontId="1" fillId="0" borderId="0" xfId="0" applyNumberFormat="1" applyFont="1" applyFill="1" applyAlignment="1">
      <alignment horizontal="right"/>
    </xf>
    <xf numFmtId="16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/>
    <xf numFmtId="0" fontId="1" fillId="0" borderId="0" xfId="0" applyNumberFormat="1" applyFont="1" applyFill="1" applyAlignment="1"/>
    <xf numFmtId="9" fontId="3" fillId="0" borderId="0" xfId="0" applyNumberFormat="1" applyFont="1" applyFill="1"/>
    <xf numFmtId="16" fontId="3" fillId="0" borderId="0" xfId="0" applyNumberFormat="1" applyFont="1" applyFill="1" applyAlignment="1"/>
    <xf numFmtId="3" fontId="3" fillId="0" borderId="0" xfId="0" applyNumberFormat="1" applyFont="1" applyFill="1"/>
    <xf numFmtId="0" fontId="3" fillId="0" borderId="0" xfId="1" applyNumberFormat="1" applyFont="1" applyFill="1" applyAlignment="1">
      <alignment horizontal="right"/>
    </xf>
    <xf numFmtId="0" fontId="6" fillId="0" borderId="0" xfId="0" applyFont="1" applyFill="1"/>
    <xf numFmtId="0" fontId="6" fillId="0" borderId="0" xfId="0" applyNumberFormat="1" applyFont="1" applyFill="1"/>
    <xf numFmtId="0" fontId="6" fillId="0" borderId="0" xfId="1" applyNumberFormat="1" applyFont="1" applyFill="1"/>
    <xf numFmtId="0" fontId="6" fillId="0" borderId="0" xfId="0" applyNumberFormat="1" applyFont="1" applyFill="1" applyAlignment="1">
      <alignment horizontal="right"/>
    </xf>
    <xf numFmtId="0" fontId="6" fillId="0" borderId="0" xfId="0" applyNumberFormat="1" applyFont="1" applyFill="1" applyAlignment="1"/>
    <xf numFmtId="16" fontId="6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9" fontId="6" fillId="0" borderId="0" xfId="0" applyNumberFormat="1" applyFont="1" applyFill="1"/>
    <xf numFmtId="16" fontId="6" fillId="0" borderId="0" xfId="0" applyNumberFormat="1" applyFont="1" applyFill="1" applyAlignment="1"/>
    <xf numFmtId="9" fontId="1" fillId="0" borderId="0" xfId="0" applyNumberFormat="1" applyFont="1" applyFill="1"/>
    <xf numFmtId="3" fontId="1" fillId="0" borderId="0" xfId="0" applyNumberFormat="1" applyFont="1" applyFill="1"/>
    <xf numFmtId="0" fontId="7" fillId="0" borderId="0" xfId="0" applyFont="1" applyFill="1"/>
    <xf numFmtId="0" fontId="8" fillId="0" borderId="0" xfId="0" applyFont="1" applyFill="1"/>
    <xf numFmtId="0" fontId="8" fillId="0" borderId="0" xfId="0" applyNumberFormat="1" applyFont="1" applyFill="1"/>
    <xf numFmtId="0" fontId="8" fillId="0" borderId="0" xfId="1" applyNumberFormat="1" applyFont="1" applyFill="1"/>
    <xf numFmtId="0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Fill="1"/>
    <xf numFmtId="0" fontId="5" fillId="2" borderId="0" xfId="0" applyFont="1" applyFill="1"/>
    <xf numFmtId="0" fontId="9" fillId="0" borderId="0" xfId="0" applyFont="1" applyAlignment="1">
      <alignment horizontal="left"/>
    </xf>
    <xf numFmtId="0" fontId="10" fillId="0" borderId="0" xfId="0" applyNumberFormat="1" applyFont="1" applyFill="1" applyAlignment="1">
      <alignment horizontal="left"/>
    </xf>
    <xf numFmtId="0" fontId="10" fillId="0" borderId="0" xfId="1" applyNumberFormat="1" applyFont="1" applyFill="1" applyAlignment="1">
      <alignment horizontal="left"/>
    </xf>
    <xf numFmtId="0" fontId="10" fillId="0" borderId="0" xfId="0" applyNumberFormat="1" applyFont="1" applyAlignment="1">
      <alignment horizontal="right"/>
    </xf>
    <xf numFmtId="0" fontId="11" fillId="0" borderId="0" xfId="0" applyNumberFormat="1" applyFont="1" applyAlignment="1">
      <alignment horizontal="right"/>
    </xf>
    <xf numFmtId="0" fontId="10" fillId="0" borderId="0" xfId="0" applyNumberFormat="1" applyFont="1" applyAlignment="1"/>
    <xf numFmtId="0" fontId="10" fillId="0" borderId="0" xfId="0" applyNumberFormat="1" applyFont="1" applyAlignment="1">
      <alignment horizontal="left"/>
    </xf>
    <xf numFmtId="0" fontId="12" fillId="0" borderId="0" xfId="0" applyFont="1" applyFill="1"/>
    <xf numFmtId="0" fontId="13" fillId="0" borderId="0" xfId="0" applyFont="1" applyFill="1"/>
    <xf numFmtId="0" fontId="13" fillId="0" borderId="0" xfId="0" applyFont="1" applyFill="1" applyAlignment="1">
      <alignment horizontal="left"/>
    </xf>
    <xf numFmtId="0" fontId="14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enableFormatConditionsCalculation="0"/>
  <dimension ref="A1:FL113"/>
  <sheetViews>
    <sheetView tabSelected="1" topLeftCell="A67" workbookViewId="0">
      <selection activeCell="F107" sqref="F107"/>
    </sheetView>
  </sheetViews>
  <sheetFormatPr defaultColWidth="8.85546875" defaultRowHeight="15" x14ac:dyDescent="0.25"/>
  <cols>
    <col min="1" max="1" width="51.42578125" customWidth="1"/>
    <col min="2" max="2" width="8.85546875" style="17"/>
    <col min="3" max="3" width="16.140625" style="12" customWidth="1"/>
    <col min="4" max="4" width="12.140625" style="15" customWidth="1"/>
    <col min="5" max="5" width="8.85546875" style="15"/>
    <col min="6" max="6" width="7.42578125" style="21" customWidth="1"/>
    <col min="7" max="7" width="5.42578125" customWidth="1"/>
    <col min="8" max="8" width="26.140625" customWidth="1"/>
    <col min="9" max="9" width="50.85546875" customWidth="1"/>
    <col min="10" max="10" width="26.140625" customWidth="1"/>
    <col min="11" max="11" width="12.85546875" customWidth="1"/>
    <col min="12" max="12" width="10.7109375" customWidth="1"/>
    <col min="13" max="13" width="8.85546875" style="5"/>
    <col min="14" max="14" width="14.85546875" customWidth="1"/>
    <col min="15" max="15" width="19.7109375" style="15" customWidth="1"/>
    <col min="16" max="16" width="19.85546875" style="15" customWidth="1"/>
    <col min="23" max="23" width="12" customWidth="1"/>
    <col min="24" max="24" width="13.42578125" customWidth="1"/>
    <col min="25" max="25" width="12.85546875" customWidth="1"/>
    <col min="26" max="26" width="13" customWidth="1"/>
    <col min="27" max="27" width="12.7109375" customWidth="1"/>
    <col min="28" max="28" width="11.28515625" customWidth="1"/>
    <col min="29" max="29" width="12.85546875" customWidth="1"/>
    <col min="30" max="30" width="10.5703125" customWidth="1"/>
    <col min="31" max="31" width="8.85546875" style="6"/>
    <col min="32" max="32" width="16" customWidth="1"/>
    <col min="33" max="33" width="17.28515625" customWidth="1"/>
    <col min="34" max="34" width="14.140625" customWidth="1"/>
    <col min="35" max="35" width="10.85546875" style="6" customWidth="1"/>
    <col min="36" max="36" width="11.7109375" customWidth="1"/>
    <col min="38" max="38" width="8.85546875" style="6"/>
    <col min="40" max="42" width="8.85546875" style="6"/>
    <col min="44" max="46" width="8.85546875" style="6"/>
    <col min="48" max="50" width="8.85546875" style="6"/>
    <col min="54" max="54" width="23.42578125" customWidth="1"/>
    <col min="56" max="56" width="54.140625" customWidth="1"/>
    <col min="57" max="57" width="17.28515625" customWidth="1"/>
  </cols>
  <sheetData>
    <row r="1" spans="1:168" s="43" customFormat="1" x14ac:dyDescent="0.25">
      <c r="A1" s="45" t="s">
        <v>460</v>
      </c>
      <c r="B1" s="39"/>
      <c r="C1" s="40"/>
      <c r="D1" s="41"/>
      <c r="E1" s="41"/>
      <c r="F1" s="42"/>
      <c r="M1" s="44"/>
      <c r="O1" s="41"/>
      <c r="P1" s="41"/>
    </row>
    <row r="2" spans="1:168" s="47" customFormat="1" x14ac:dyDescent="0.25">
      <c r="A2" s="47" t="s">
        <v>60</v>
      </c>
      <c r="B2" s="48" t="s">
        <v>21</v>
      </c>
      <c r="C2" s="49" t="s">
        <v>463</v>
      </c>
      <c r="D2" s="50" t="s">
        <v>464</v>
      </c>
      <c r="E2" s="51" t="s">
        <v>29</v>
      </c>
      <c r="F2" s="52"/>
      <c r="G2" s="47" t="s">
        <v>61</v>
      </c>
      <c r="H2" s="47" t="s">
        <v>23</v>
      </c>
      <c r="I2" s="47" t="s">
        <v>450</v>
      </c>
      <c r="J2" s="47" t="s">
        <v>25</v>
      </c>
      <c r="K2" s="47" t="s">
        <v>282</v>
      </c>
      <c r="L2" s="47" t="s">
        <v>448</v>
      </c>
      <c r="M2" s="47" t="s">
        <v>449</v>
      </c>
      <c r="N2" s="47" t="s">
        <v>447</v>
      </c>
      <c r="O2" s="53" t="s">
        <v>445</v>
      </c>
      <c r="P2" s="53" t="s">
        <v>446</v>
      </c>
      <c r="Q2" s="47" t="s">
        <v>64</v>
      </c>
      <c r="R2" s="47" t="s">
        <v>181</v>
      </c>
      <c r="S2" s="47" t="s">
        <v>182</v>
      </c>
      <c r="U2" s="47" t="s">
        <v>183</v>
      </c>
      <c r="V2" s="47" t="s">
        <v>184</v>
      </c>
      <c r="W2" s="47" t="s">
        <v>185</v>
      </c>
      <c r="X2" s="47" t="s">
        <v>98</v>
      </c>
      <c r="Y2" s="47" t="s">
        <v>99</v>
      </c>
      <c r="Z2" s="47" t="s">
        <v>100</v>
      </c>
      <c r="AA2" s="47" t="s">
        <v>101</v>
      </c>
      <c r="AB2" s="47" t="s">
        <v>164</v>
      </c>
      <c r="AC2" s="47" t="s">
        <v>451</v>
      </c>
      <c r="AD2" s="47" t="s">
        <v>452</v>
      </c>
      <c r="AG2" s="47" t="s">
        <v>454</v>
      </c>
      <c r="AH2" s="47" t="s">
        <v>453</v>
      </c>
      <c r="AI2" s="47" t="s">
        <v>363</v>
      </c>
      <c r="AJ2" s="47" t="s">
        <v>364</v>
      </c>
      <c r="AK2" s="47" t="s">
        <v>186</v>
      </c>
      <c r="AL2" s="47" t="s">
        <v>45</v>
      </c>
      <c r="AM2" s="47" t="s">
        <v>187</v>
      </c>
      <c r="AN2" s="47" t="s">
        <v>46</v>
      </c>
      <c r="AO2" s="47" t="s">
        <v>49</v>
      </c>
      <c r="AP2" s="47" t="s">
        <v>50</v>
      </c>
      <c r="AQ2" s="47" t="s">
        <v>188</v>
      </c>
      <c r="AR2" s="47" t="s">
        <v>47</v>
      </c>
      <c r="AS2" s="47" t="s">
        <v>49</v>
      </c>
      <c r="AT2" s="47" t="s">
        <v>50</v>
      </c>
      <c r="AU2" s="47" t="s">
        <v>300</v>
      </c>
      <c r="AV2" s="47" t="s">
        <v>48</v>
      </c>
      <c r="AW2" s="47" t="s">
        <v>49</v>
      </c>
      <c r="AX2" s="47" t="s">
        <v>50</v>
      </c>
      <c r="AY2" s="47" t="s">
        <v>280</v>
      </c>
      <c r="AZ2" s="47" t="s">
        <v>279</v>
      </c>
      <c r="BA2" s="47" t="s">
        <v>301</v>
      </c>
      <c r="BB2" s="47" t="s">
        <v>456</v>
      </c>
      <c r="BC2" s="47" t="s">
        <v>77</v>
      </c>
      <c r="BD2" s="47" t="s">
        <v>287</v>
      </c>
      <c r="BE2" s="47" t="s">
        <v>439</v>
      </c>
    </row>
    <row r="3" spans="1:168" s="3" customFormat="1" x14ac:dyDescent="0.25">
      <c r="A3" s="54" t="s">
        <v>414</v>
      </c>
      <c r="B3" s="16">
        <v>1</v>
      </c>
      <c r="C3" s="11">
        <v>1</v>
      </c>
      <c r="D3" s="14">
        <v>1</v>
      </c>
      <c r="E3" s="14">
        <f t="shared" ref="E3:E9" si="0">AVERAGE(B3:D3)</f>
        <v>1</v>
      </c>
      <c r="F3" s="20"/>
      <c r="G3" s="3" t="s">
        <v>351</v>
      </c>
      <c r="H3" s="3" t="s">
        <v>415</v>
      </c>
      <c r="I3" s="3" t="s">
        <v>442</v>
      </c>
      <c r="K3" s="3" t="s">
        <v>292</v>
      </c>
      <c r="L3" s="3" t="s">
        <v>298</v>
      </c>
      <c r="M3" s="8">
        <v>3</v>
      </c>
      <c r="N3" s="3" t="s">
        <v>71</v>
      </c>
      <c r="O3" s="19">
        <v>41930</v>
      </c>
      <c r="P3" s="19">
        <v>41930</v>
      </c>
      <c r="R3" s="3">
        <v>16</v>
      </c>
      <c r="U3" s="3">
        <v>60</v>
      </c>
      <c r="V3" s="3">
        <v>24</v>
      </c>
      <c r="W3" s="3">
        <v>2</v>
      </c>
      <c r="X3" s="3">
        <v>0</v>
      </c>
      <c r="Y3" s="3">
        <v>0.4</v>
      </c>
      <c r="Z3" s="3">
        <v>0.4</v>
      </c>
      <c r="AA3" s="3">
        <v>0.4</v>
      </c>
      <c r="AB3" s="3" t="s">
        <v>166</v>
      </c>
      <c r="AC3" s="3">
        <v>8</v>
      </c>
      <c r="AD3" s="3">
        <v>15</v>
      </c>
      <c r="AG3" s="3">
        <v>1977</v>
      </c>
      <c r="AH3" s="3">
        <f t="shared" ref="AH3:AH30" si="1">(1648+150)-50</f>
        <v>1748</v>
      </c>
      <c r="AK3" s="3">
        <v>51987</v>
      </c>
      <c r="AM3" s="3">
        <v>54038</v>
      </c>
      <c r="AQ3" s="3">
        <v>56191</v>
      </c>
      <c r="AU3" s="24">
        <v>58980</v>
      </c>
      <c r="AV3" s="24"/>
      <c r="AW3" s="24"/>
      <c r="AX3" s="24"/>
      <c r="AY3" s="3">
        <v>20</v>
      </c>
      <c r="AZ3" s="3">
        <v>10</v>
      </c>
      <c r="BA3" s="3" t="s">
        <v>302</v>
      </c>
      <c r="BB3" s="3" t="s">
        <v>303</v>
      </c>
      <c r="BC3" s="3" t="s">
        <v>73</v>
      </c>
      <c r="BE3" s="3" t="s">
        <v>156</v>
      </c>
    </row>
    <row r="4" spans="1:168" s="3" customFormat="1" x14ac:dyDescent="0.25">
      <c r="A4" s="54" t="s">
        <v>321</v>
      </c>
      <c r="B4" s="16">
        <v>4</v>
      </c>
      <c r="C4" s="11">
        <v>2</v>
      </c>
      <c r="D4" s="14">
        <v>2</v>
      </c>
      <c r="E4" s="14">
        <f t="shared" si="0"/>
        <v>2.6666666666666665</v>
      </c>
      <c r="F4" s="20"/>
      <c r="G4" s="3" t="s">
        <v>322</v>
      </c>
      <c r="H4" s="3" t="s">
        <v>131</v>
      </c>
      <c r="I4" s="3" t="s">
        <v>416</v>
      </c>
      <c r="K4" s="3" t="s">
        <v>225</v>
      </c>
      <c r="L4" s="3" t="s">
        <v>138</v>
      </c>
      <c r="M4" s="8">
        <v>3</v>
      </c>
      <c r="N4" s="3" t="s">
        <v>343</v>
      </c>
      <c r="O4" s="19">
        <v>41899</v>
      </c>
      <c r="P4" s="19">
        <v>41915</v>
      </c>
      <c r="Q4" s="3">
        <v>12</v>
      </c>
      <c r="R4" s="3">
        <v>1</v>
      </c>
      <c r="S4" s="3">
        <v>61</v>
      </c>
      <c r="U4" s="3">
        <v>50</v>
      </c>
      <c r="V4" s="3">
        <v>16</v>
      </c>
      <c r="W4" s="3">
        <v>1</v>
      </c>
      <c r="X4" s="3">
        <v>2</v>
      </c>
      <c r="Y4" s="3" t="s">
        <v>299</v>
      </c>
      <c r="Z4" s="3" t="s">
        <v>299</v>
      </c>
      <c r="AA4" s="3" t="s">
        <v>299</v>
      </c>
      <c r="AC4" s="3">
        <v>5</v>
      </c>
      <c r="AD4" s="3">
        <v>33</v>
      </c>
      <c r="AG4" s="3">
        <v>1821</v>
      </c>
      <c r="AH4" s="3">
        <f t="shared" si="1"/>
        <v>1748</v>
      </c>
      <c r="AK4" s="3">
        <v>52476</v>
      </c>
      <c r="AM4" s="3">
        <v>54636</v>
      </c>
      <c r="AQ4" s="3">
        <v>56880</v>
      </c>
      <c r="AU4" s="3" t="s">
        <v>299</v>
      </c>
      <c r="AY4" s="3">
        <v>15</v>
      </c>
      <c r="AZ4" s="3">
        <v>12</v>
      </c>
      <c r="BA4" s="3" t="s">
        <v>289</v>
      </c>
      <c r="BB4" s="3" t="s">
        <v>132</v>
      </c>
      <c r="BC4" s="3" t="s">
        <v>457</v>
      </c>
      <c r="BD4" s="3" t="s">
        <v>269</v>
      </c>
    </row>
    <row r="5" spans="1:168" s="3" customFormat="1" x14ac:dyDescent="0.25">
      <c r="A5" s="54" t="s">
        <v>266</v>
      </c>
      <c r="B5" s="16">
        <v>5</v>
      </c>
      <c r="C5" s="11">
        <v>3</v>
      </c>
      <c r="D5" s="14">
        <v>3</v>
      </c>
      <c r="E5" s="14">
        <f t="shared" si="0"/>
        <v>3.6666666666666665</v>
      </c>
      <c r="F5" s="20"/>
      <c r="G5" s="3" t="s">
        <v>175</v>
      </c>
      <c r="H5" s="3" t="s">
        <v>28</v>
      </c>
      <c r="I5" s="3" t="s">
        <v>154</v>
      </c>
      <c r="K5" s="3" t="s">
        <v>225</v>
      </c>
      <c r="M5" s="8"/>
      <c r="N5" s="3" t="s">
        <v>91</v>
      </c>
      <c r="O5" s="14" t="s">
        <v>15</v>
      </c>
      <c r="P5" s="19">
        <v>41923</v>
      </c>
      <c r="X5" s="3">
        <v>1</v>
      </c>
      <c r="Y5" s="3">
        <v>0.5</v>
      </c>
      <c r="Z5" s="3" t="s">
        <v>102</v>
      </c>
      <c r="AA5" s="3" t="s">
        <v>299</v>
      </c>
      <c r="AG5" s="3">
        <v>2817</v>
      </c>
      <c r="AH5" s="4">
        <f t="shared" si="1"/>
        <v>1748</v>
      </c>
      <c r="AI5" s="4"/>
      <c r="AJ5" s="4"/>
      <c r="AK5" s="3">
        <v>58000</v>
      </c>
      <c r="AM5" s="3">
        <v>60600</v>
      </c>
      <c r="AQ5" s="3">
        <v>62900</v>
      </c>
      <c r="AU5" s="3" t="s">
        <v>299</v>
      </c>
      <c r="BD5" s="3" t="s">
        <v>267</v>
      </c>
      <c r="BE5" s="3" t="s">
        <v>56</v>
      </c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</row>
    <row r="6" spans="1:168" s="3" customFormat="1" x14ac:dyDescent="0.25">
      <c r="A6" s="54" t="s">
        <v>152</v>
      </c>
      <c r="B6" s="16">
        <v>4</v>
      </c>
      <c r="C6" s="11">
        <v>4</v>
      </c>
      <c r="D6" s="14">
        <v>4</v>
      </c>
      <c r="E6" s="14">
        <f t="shared" si="0"/>
        <v>4</v>
      </c>
      <c r="F6" s="20"/>
      <c r="G6" s="3" t="s">
        <v>177</v>
      </c>
      <c r="H6" s="3" t="s">
        <v>233</v>
      </c>
      <c r="I6" s="3" t="s">
        <v>412</v>
      </c>
      <c r="J6" s="3" t="s">
        <v>30</v>
      </c>
      <c r="K6" s="3" t="s">
        <v>225</v>
      </c>
      <c r="L6" s="3" t="s">
        <v>234</v>
      </c>
      <c r="M6" s="8">
        <v>3</v>
      </c>
      <c r="N6" s="3" t="s">
        <v>235</v>
      </c>
      <c r="O6" s="19">
        <v>41921</v>
      </c>
      <c r="P6" s="19">
        <v>41923</v>
      </c>
      <c r="Q6" s="3">
        <v>18</v>
      </c>
      <c r="R6" s="3">
        <v>19</v>
      </c>
      <c r="S6" s="3">
        <v>61</v>
      </c>
      <c r="U6" s="3">
        <v>50</v>
      </c>
      <c r="V6" s="3">
        <v>14</v>
      </c>
      <c r="W6" s="3">
        <v>1.7</v>
      </c>
      <c r="X6" s="3" t="s">
        <v>299</v>
      </c>
      <c r="Y6" s="3" t="s">
        <v>299</v>
      </c>
      <c r="Z6" s="3" t="s">
        <v>299</v>
      </c>
      <c r="AA6" s="3" t="s">
        <v>299</v>
      </c>
      <c r="AB6" s="3" t="s">
        <v>165</v>
      </c>
      <c r="AC6" s="3">
        <v>5</v>
      </c>
      <c r="AD6" s="3">
        <v>0</v>
      </c>
      <c r="AF6" s="3" t="s">
        <v>152</v>
      </c>
      <c r="AG6" s="3">
        <v>1386</v>
      </c>
      <c r="AH6" s="3">
        <f t="shared" si="1"/>
        <v>1748</v>
      </c>
      <c r="AI6" s="22">
        <v>-0.02</v>
      </c>
      <c r="AJ6" s="22">
        <v>-0.06</v>
      </c>
      <c r="AK6" s="3">
        <f>42743/12</f>
        <v>3561.9166666666665</v>
      </c>
      <c r="AL6" s="3">
        <f>(AK6*AI6)+AK6</f>
        <v>3490.6783333333333</v>
      </c>
      <c r="AM6" s="3">
        <f>44224.63/12</f>
        <v>3685.3858333333333</v>
      </c>
      <c r="AN6" s="3">
        <f>(AM6*AI6)+AM6</f>
        <v>3611.6781166666665</v>
      </c>
      <c r="AO6" s="3">
        <f>AN6+AG6</f>
        <v>4997.678116666666</v>
      </c>
      <c r="AP6" s="3">
        <f>AN6+AH6</f>
        <v>5359.678116666666</v>
      </c>
      <c r="AQ6" s="3">
        <f>45817.25/12</f>
        <v>3818.1041666666665</v>
      </c>
      <c r="AR6" s="3">
        <f>(AQ6*AI6)+AQ6</f>
        <v>3741.7420833333331</v>
      </c>
      <c r="AS6" s="3">
        <f>AR6+AG6</f>
        <v>5127.7420833333326</v>
      </c>
      <c r="AT6" s="3">
        <f>AR6+AH6</f>
        <v>5489.7420833333326</v>
      </c>
      <c r="AU6" s="3">
        <f>47494.14/12</f>
        <v>3957.8449999999998</v>
      </c>
      <c r="AV6" s="3">
        <f>(AU6*AI6)+AU6</f>
        <v>3878.6880999999998</v>
      </c>
      <c r="AW6" s="3">
        <f>AV6+AG6</f>
        <v>5264.6880999999994</v>
      </c>
      <c r="AX6" s="3">
        <f>AV6+AH6</f>
        <v>5626.6880999999994</v>
      </c>
      <c r="AY6" s="3">
        <v>15</v>
      </c>
      <c r="AZ6" s="3">
        <v>90</v>
      </c>
      <c r="BA6" s="3" t="s">
        <v>289</v>
      </c>
      <c r="BB6" s="3" t="s">
        <v>132</v>
      </c>
      <c r="BC6" s="3" t="s">
        <v>303</v>
      </c>
      <c r="BD6" s="3" t="s">
        <v>236</v>
      </c>
      <c r="BE6" s="3" t="s">
        <v>437</v>
      </c>
    </row>
    <row r="7" spans="1:168" s="3" customFormat="1" x14ac:dyDescent="0.25">
      <c r="A7" s="54" t="s">
        <v>401</v>
      </c>
      <c r="B7" s="16">
        <v>2</v>
      </c>
      <c r="C7" s="11">
        <v>5</v>
      </c>
      <c r="D7" s="14">
        <v>5</v>
      </c>
      <c r="E7" s="14">
        <f t="shared" si="0"/>
        <v>4</v>
      </c>
      <c r="F7" s="20"/>
      <c r="G7" s="3" t="s">
        <v>247</v>
      </c>
      <c r="H7" s="3" t="s">
        <v>244</v>
      </c>
      <c r="K7" s="3" t="s">
        <v>225</v>
      </c>
      <c r="L7" s="3" t="s">
        <v>386</v>
      </c>
      <c r="M7" s="8">
        <v>3</v>
      </c>
      <c r="N7" s="3" t="s">
        <v>387</v>
      </c>
      <c r="O7" s="19">
        <v>41914</v>
      </c>
      <c r="P7" s="19">
        <v>41923</v>
      </c>
      <c r="Q7" s="3">
        <v>23</v>
      </c>
      <c r="R7" s="3">
        <v>19</v>
      </c>
      <c r="S7" s="3">
        <v>46</v>
      </c>
      <c r="U7" s="3">
        <v>60</v>
      </c>
      <c r="V7" s="3">
        <v>24</v>
      </c>
      <c r="W7" s="3">
        <v>1.8</v>
      </c>
      <c r="X7" s="3">
        <v>0.5</v>
      </c>
      <c r="Y7" s="3">
        <v>0.5</v>
      </c>
      <c r="Z7" s="3">
        <v>0.4</v>
      </c>
      <c r="AA7" s="3" t="s">
        <v>299</v>
      </c>
      <c r="AC7" s="3">
        <v>5</v>
      </c>
      <c r="AD7" s="3">
        <v>30</v>
      </c>
      <c r="AH7" s="3">
        <f t="shared" si="1"/>
        <v>1748</v>
      </c>
      <c r="AK7" s="3">
        <v>54251</v>
      </c>
      <c r="AM7" s="3">
        <v>57572</v>
      </c>
      <c r="AQ7" s="3">
        <v>60934</v>
      </c>
      <c r="AU7" s="3" t="s">
        <v>299</v>
      </c>
      <c r="AY7" s="3">
        <v>20</v>
      </c>
      <c r="AZ7" s="3">
        <v>12</v>
      </c>
      <c r="BA7" s="3" t="s">
        <v>289</v>
      </c>
      <c r="BB7" s="3" t="s">
        <v>388</v>
      </c>
      <c r="BC7" s="3" t="s">
        <v>289</v>
      </c>
    </row>
    <row r="8" spans="1:168" s="3" customFormat="1" x14ac:dyDescent="0.25">
      <c r="A8" s="54" t="s">
        <v>32</v>
      </c>
      <c r="B8" s="16">
        <v>3</v>
      </c>
      <c r="C8" s="25">
        <v>6</v>
      </c>
      <c r="D8" s="14">
        <v>7</v>
      </c>
      <c r="E8" s="14">
        <f t="shared" si="0"/>
        <v>5.333333333333333</v>
      </c>
      <c r="F8" s="23"/>
      <c r="G8" s="3" t="s">
        <v>313</v>
      </c>
      <c r="H8" s="3" t="s">
        <v>109</v>
      </c>
      <c r="I8" s="3" t="s">
        <v>33</v>
      </c>
      <c r="J8" s="3" t="s">
        <v>360</v>
      </c>
      <c r="K8" s="3" t="s">
        <v>225</v>
      </c>
      <c r="L8" s="3" t="s">
        <v>389</v>
      </c>
      <c r="M8" s="8">
        <v>3</v>
      </c>
      <c r="N8" s="3" t="s">
        <v>85</v>
      </c>
      <c r="O8" s="19" t="s">
        <v>31</v>
      </c>
      <c r="P8" s="19">
        <v>41912</v>
      </c>
      <c r="Q8" s="3">
        <v>20</v>
      </c>
      <c r="R8" s="3">
        <v>21</v>
      </c>
      <c r="S8" s="3">
        <v>62</v>
      </c>
      <c r="U8" s="3">
        <v>54</v>
      </c>
      <c r="V8" s="3">
        <v>30</v>
      </c>
      <c r="W8" s="3">
        <v>1.6</v>
      </c>
      <c r="X8" s="3">
        <v>1</v>
      </c>
      <c r="Y8" s="3">
        <v>1</v>
      </c>
      <c r="Z8" s="3">
        <v>1</v>
      </c>
      <c r="AA8" s="3" t="s">
        <v>299</v>
      </c>
      <c r="AB8" s="3" t="s">
        <v>166</v>
      </c>
      <c r="AC8" s="3">
        <v>3</v>
      </c>
      <c r="AD8" s="3">
        <v>12</v>
      </c>
      <c r="AF8" s="3" t="s">
        <v>32</v>
      </c>
      <c r="AG8" s="3">
        <v>1701</v>
      </c>
      <c r="AH8" s="3">
        <f t="shared" si="1"/>
        <v>1748</v>
      </c>
      <c r="AI8" s="22">
        <v>0.02</v>
      </c>
      <c r="AJ8" s="22">
        <v>7.0000000000000007E-2</v>
      </c>
      <c r="AM8" s="3">
        <f>44305.99/12</f>
        <v>3692.165833333333</v>
      </c>
      <c r="AN8" s="3">
        <f>(AM8*AI8)+AM8</f>
        <v>3766.0091499999999</v>
      </c>
      <c r="AO8" s="3">
        <f>AN8+AG8</f>
        <v>5467.0091499999999</v>
      </c>
      <c r="AP8" s="3">
        <f>AN8+AH8</f>
        <v>5514.0091499999999</v>
      </c>
      <c r="AQ8" s="3">
        <f>45184.69/12</f>
        <v>3765.3908333333334</v>
      </c>
      <c r="AR8" s="3">
        <f>(AQ8*AI8)+AQ8</f>
        <v>3840.6986500000003</v>
      </c>
      <c r="AS8" s="3">
        <f>AR8+AG8</f>
        <v>5541.6986500000003</v>
      </c>
      <c r="AT8" s="3">
        <f>AR8+AH8</f>
        <v>5588.6986500000003</v>
      </c>
      <c r="AU8" s="3">
        <f>46826.06/12</f>
        <v>3902.1716666666666</v>
      </c>
      <c r="AV8" s="3">
        <f>(AU8*AI8)+AU8</f>
        <v>3980.2150999999999</v>
      </c>
      <c r="AW8" s="3">
        <f>AV8+AG8</f>
        <v>5681.2150999999994</v>
      </c>
      <c r="AX8" s="3">
        <f>AV8+AH8</f>
        <v>5728.2150999999994</v>
      </c>
      <c r="AY8" s="3">
        <v>15</v>
      </c>
      <c r="AZ8" s="3">
        <v>12</v>
      </c>
      <c r="BA8" s="3" t="s">
        <v>289</v>
      </c>
      <c r="BB8" s="3" t="s">
        <v>19</v>
      </c>
      <c r="BC8" s="3" t="s">
        <v>136</v>
      </c>
      <c r="BE8" s="3" t="s">
        <v>436</v>
      </c>
    </row>
    <row r="9" spans="1:168" s="3" customFormat="1" x14ac:dyDescent="0.25">
      <c r="A9" s="54" t="s">
        <v>309</v>
      </c>
      <c r="B9" s="16">
        <v>8</v>
      </c>
      <c r="C9" s="11">
        <v>7</v>
      </c>
      <c r="D9" s="14">
        <v>6</v>
      </c>
      <c r="E9" s="14">
        <f t="shared" si="0"/>
        <v>7</v>
      </c>
      <c r="F9" s="20"/>
      <c r="G9" s="3" t="s">
        <v>306</v>
      </c>
      <c r="H9" s="3" t="s">
        <v>200</v>
      </c>
      <c r="I9" s="3" t="s">
        <v>422</v>
      </c>
      <c r="K9" s="3" t="s">
        <v>225</v>
      </c>
      <c r="L9" s="3" t="s">
        <v>201</v>
      </c>
      <c r="M9" s="8">
        <v>3</v>
      </c>
      <c r="N9" s="3" t="s">
        <v>202</v>
      </c>
      <c r="O9" s="14" t="s">
        <v>421</v>
      </c>
      <c r="P9" s="19">
        <v>41909</v>
      </c>
      <c r="Q9" s="3">
        <v>40</v>
      </c>
      <c r="R9" s="3">
        <v>6</v>
      </c>
      <c r="S9" s="3">
        <v>52</v>
      </c>
      <c r="U9" s="3">
        <v>60</v>
      </c>
      <c r="V9" s="3">
        <v>16</v>
      </c>
      <c r="W9" s="3">
        <v>1</v>
      </c>
      <c r="X9" s="3" t="s">
        <v>299</v>
      </c>
      <c r="Y9" s="3" t="s">
        <v>299</v>
      </c>
      <c r="Z9" s="3" t="s">
        <v>299</v>
      </c>
      <c r="AA9" s="3" t="s">
        <v>299</v>
      </c>
      <c r="AC9" s="3">
        <v>10</v>
      </c>
      <c r="AD9" s="3">
        <v>10</v>
      </c>
      <c r="AG9" s="3">
        <v>1356</v>
      </c>
      <c r="AH9" s="3">
        <f t="shared" si="1"/>
        <v>1748</v>
      </c>
      <c r="AK9" s="3" t="s">
        <v>299</v>
      </c>
      <c r="AM9" s="3">
        <v>52166</v>
      </c>
      <c r="AQ9" s="3">
        <v>53185</v>
      </c>
      <c r="AU9" s="3">
        <v>55806</v>
      </c>
      <c r="AY9" s="3">
        <v>15</v>
      </c>
      <c r="AZ9" s="3" t="s">
        <v>455</v>
      </c>
      <c r="BA9" s="3" t="s">
        <v>290</v>
      </c>
      <c r="BB9" s="3" t="s">
        <v>252</v>
      </c>
      <c r="BC9" s="3" t="s">
        <v>136</v>
      </c>
      <c r="BD9" s="3" t="s">
        <v>203</v>
      </c>
    </row>
    <row r="10" spans="1:168" s="3" customFormat="1" x14ac:dyDescent="0.25">
      <c r="A10" s="54" t="s">
        <v>405</v>
      </c>
      <c r="B10" s="16"/>
      <c r="C10" s="11">
        <v>9</v>
      </c>
      <c r="D10" s="14">
        <v>8</v>
      </c>
      <c r="E10" s="14">
        <f>(C10+D10)/2</f>
        <v>8.5</v>
      </c>
      <c r="F10" s="20"/>
      <c r="G10" s="3" t="s">
        <v>403</v>
      </c>
      <c r="H10" s="3" t="s">
        <v>5</v>
      </c>
      <c r="K10" s="3" t="s">
        <v>225</v>
      </c>
      <c r="L10" s="3" t="s">
        <v>168</v>
      </c>
      <c r="M10" s="8">
        <v>3</v>
      </c>
      <c r="O10" s="19">
        <v>41944</v>
      </c>
      <c r="P10" s="19">
        <v>41948</v>
      </c>
      <c r="AH10" s="4">
        <f t="shared" si="1"/>
        <v>1748</v>
      </c>
      <c r="AI10" s="4"/>
      <c r="AJ10" s="4"/>
    </row>
    <row r="11" spans="1:168" s="3" customFormat="1" x14ac:dyDescent="0.25">
      <c r="A11" s="54" t="s">
        <v>261</v>
      </c>
      <c r="B11" s="16">
        <v>14</v>
      </c>
      <c r="C11" s="11">
        <v>8</v>
      </c>
      <c r="D11" s="14">
        <v>10</v>
      </c>
      <c r="E11" s="14">
        <f>AVERAGE(B11:D11)</f>
        <v>10.666666666666666</v>
      </c>
      <c r="F11" s="20"/>
      <c r="G11" s="3" t="s">
        <v>262</v>
      </c>
      <c r="H11" s="3" t="s">
        <v>395</v>
      </c>
      <c r="I11" s="3" t="s">
        <v>400</v>
      </c>
      <c r="K11" s="3" t="s">
        <v>225</v>
      </c>
      <c r="L11" s="3" t="s">
        <v>169</v>
      </c>
      <c r="M11" s="8">
        <v>3</v>
      </c>
      <c r="N11" s="3" t="s">
        <v>221</v>
      </c>
      <c r="O11" s="14" t="s">
        <v>423</v>
      </c>
      <c r="P11" s="19">
        <v>41913</v>
      </c>
      <c r="Q11" s="3">
        <v>11</v>
      </c>
      <c r="R11" s="3">
        <v>0</v>
      </c>
      <c r="S11" s="3">
        <v>55</v>
      </c>
      <c r="U11" s="3">
        <v>64</v>
      </c>
      <c r="V11" s="3">
        <v>16</v>
      </c>
      <c r="W11" s="3">
        <v>1.5</v>
      </c>
      <c r="X11" s="3" t="s">
        <v>299</v>
      </c>
      <c r="Y11" s="3" t="s">
        <v>299</v>
      </c>
      <c r="Z11" s="3" t="s">
        <v>299</v>
      </c>
      <c r="AA11" s="3" t="s">
        <v>299</v>
      </c>
      <c r="AC11" s="3">
        <v>7</v>
      </c>
      <c r="AD11" s="3">
        <v>16</v>
      </c>
      <c r="AG11" s="3">
        <v>1227</v>
      </c>
      <c r="AH11" s="3">
        <f t="shared" si="1"/>
        <v>1748</v>
      </c>
      <c r="AK11" s="3">
        <v>49332</v>
      </c>
      <c r="AM11" s="3">
        <v>51041</v>
      </c>
      <c r="AQ11" s="3">
        <v>52661</v>
      </c>
      <c r="AU11" s="3">
        <v>54438</v>
      </c>
      <c r="AY11" s="3">
        <v>15</v>
      </c>
      <c r="AZ11" s="3">
        <v>15</v>
      </c>
      <c r="BA11" s="3" t="s">
        <v>290</v>
      </c>
      <c r="BB11" s="3" t="s">
        <v>132</v>
      </c>
      <c r="BC11" s="3" t="s">
        <v>136</v>
      </c>
      <c r="BD11" s="3" t="s">
        <v>170</v>
      </c>
      <c r="BE11" s="3" t="s">
        <v>145</v>
      </c>
    </row>
    <row r="12" spans="1:168" s="3" customFormat="1" x14ac:dyDescent="0.25">
      <c r="A12" s="54" t="s">
        <v>305</v>
      </c>
      <c r="B12" s="27">
        <v>6</v>
      </c>
      <c r="C12" s="28">
        <v>13</v>
      </c>
      <c r="D12" s="29">
        <v>13</v>
      </c>
      <c r="E12" s="14">
        <f>AVERAGE(B12:D12)</f>
        <v>10.666666666666666</v>
      </c>
      <c r="F12" s="30"/>
      <c r="G12" s="26" t="s">
        <v>306</v>
      </c>
      <c r="H12" s="26" t="s">
        <v>8</v>
      </c>
      <c r="I12" s="26" t="s">
        <v>434</v>
      </c>
      <c r="J12" s="26"/>
      <c r="K12" s="26" t="s">
        <v>225</v>
      </c>
      <c r="L12" s="26" t="s">
        <v>196</v>
      </c>
      <c r="M12" s="32">
        <v>3</v>
      </c>
      <c r="N12" s="26" t="s">
        <v>197</v>
      </c>
      <c r="O12" s="31">
        <v>41913</v>
      </c>
      <c r="P12" s="31">
        <v>41907</v>
      </c>
      <c r="Q12" s="26">
        <v>46</v>
      </c>
      <c r="R12" s="26">
        <v>6</v>
      </c>
      <c r="S12" s="26">
        <v>55</v>
      </c>
      <c r="T12" s="26"/>
      <c r="U12" s="26">
        <v>45</v>
      </c>
      <c r="V12" s="26">
        <v>28</v>
      </c>
      <c r="W12" s="26">
        <v>2</v>
      </c>
      <c r="X12" s="26" t="s">
        <v>299</v>
      </c>
      <c r="Y12" s="26" t="s">
        <v>299</v>
      </c>
      <c r="Z12" s="26" t="s">
        <v>299</v>
      </c>
      <c r="AA12" s="26" t="s">
        <v>299</v>
      </c>
      <c r="AB12" s="26"/>
      <c r="AC12" s="26">
        <v>9</v>
      </c>
      <c r="AD12" s="26">
        <v>20</v>
      </c>
      <c r="AE12" s="26"/>
      <c r="AF12" s="26"/>
      <c r="AG12" s="26">
        <v>1803</v>
      </c>
      <c r="AH12" s="26">
        <f t="shared" si="1"/>
        <v>1748</v>
      </c>
      <c r="AI12" s="26"/>
      <c r="AJ12" s="26"/>
      <c r="AK12" s="26">
        <v>53768</v>
      </c>
      <c r="AL12" s="26"/>
      <c r="AM12" s="26">
        <v>55224</v>
      </c>
      <c r="AN12" s="26"/>
      <c r="AO12" s="26"/>
      <c r="AP12" s="26"/>
      <c r="AQ12" s="26">
        <v>57886</v>
      </c>
      <c r="AR12" s="26"/>
      <c r="AS12" s="26"/>
      <c r="AT12" s="26"/>
      <c r="AU12" s="26" t="s">
        <v>299</v>
      </c>
      <c r="AV12" s="26"/>
      <c r="AW12" s="26"/>
      <c r="AX12" s="26"/>
      <c r="AY12" s="26">
        <v>15</v>
      </c>
      <c r="AZ12" s="26">
        <v>10</v>
      </c>
      <c r="BA12" s="26" t="s">
        <v>289</v>
      </c>
      <c r="BB12" s="26" t="s">
        <v>252</v>
      </c>
      <c r="BC12" s="26" t="s">
        <v>136</v>
      </c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</row>
    <row r="13" spans="1:168" s="26" customFormat="1" x14ac:dyDescent="0.25">
      <c r="A13" s="54" t="s">
        <v>114</v>
      </c>
      <c r="B13" s="16">
        <v>15</v>
      </c>
      <c r="C13" s="11">
        <v>10</v>
      </c>
      <c r="D13" s="14">
        <v>9</v>
      </c>
      <c r="E13" s="14">
        <f>AVERAGE(B13:D13)</f>
        <v>11.333333333333334</v>
      </c>
      <c r="F13" s="20"/>
      <c r="G13" s="3" t="s">
        <v>223</v>
      </c>
      <c r="H13" s="3" t="s">
        <v>106</v>
      </c>
      <c r="I13" s="3" t="s">
        <v>443</v>
      </c>
      <c r="J13" s="3"/>
      <c r="K13" s="3" t="s">
        <v>225</v>
      </c>
      <c r="L13" s="3" t="s">
        <v>250</v>
      </c>
      <c r="M13" s="8">
        <v>3</v>
      </c>
      <c r="N13" s="3"/>
      <c r="O13" s="19">
        <v>41961</v>
      </c>
      <c r="P13" s="19">
        <v>41942</v>
      </c>
      <c r="Q13" s="3">
        <v>4</v>
      </c>
      <c r="R13" s="3">
        <v>4</v>
      </c>
      <c r="S13" s="3">
        <v>50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>
        <v>2922</v>
      </c>
      <c r="AH13" s="3">
        <f t="shared" si="1"/>
        <v>1748</v>
      </c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 t="s">
        <v>409</v>
      </c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</row>
    <row r="14" spans="1:168" s="26" customFormat="1" x14ac:dyDescent="0.25">
      <c r="A14" s="54" t="s">
        <v>377</v>
      </c>
      <c r="B14" s="16">
        <v>12</v>
      </c>
      <c r="C14" s="11">
        <v>12</v>
      </c>
      <c r="D14" s="14">
        <v>11</v>
      </c>
      <c r="E14" s="14">
        <f>AVERAGE(B14:D14)</f>
        <v>11.666666666666666</v>
      </c>
      <c r="F14" s="20"/>
      <c r="G14" s="3" t="s">
        <v>176</v>
      </c>
      <c r="H14" s="3" t="s">
        <v>110</v>
      </c>
      <c r="I14" s="3"/>
      <c r="J14" s="3"/>
      <c r="K14" s="3" t="s">
        <v>225</v>
      </c>
      <c r="L14" s="3"/>
      <c r="M14" s="8">
        <v>3</v>
      </c>
      <c r="N14" s="3"/>
      <c r="O14" s="14" t="s">
        <v>418</v>
      </c>
      <c r="P14" s="19">
        <v>41935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>
        <v>6</v>
      </c>
      <c r="AD14" s="3"/>
      <c r="AE14" s="3"/>
      <c r="AF14" s="3"/>
      <c r="AG14" s="3">
        <v>1578</v>
      </c>
      <c r="AH14" s="3">
        <f t="shared" si="1"/>
        <v>1748</v>
      </c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>
        <v>20</v>
      </c>
      <c r="AZ14" s="3" t="s">
        <v>299</v>
      </c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</row>
    <row r="15" spans="1:168" s="26" customFormat="1" x14ac:dyDescent="0.25">
      <c r="A15" s="54" t="s">
        <v>368</v>
      </c>
      <c r="B15" s="16"/>
      <c r="C15" s="11">
        <v>11</v>
      </c>
      <c r="D15" s="14">
        <v>15</v>
      </c>
      <c r="E15" s="14">
        <f>(C15+D15)/2</f>
        <v>13</v>
      </c>
      <c r="F15" s="20"/>
      <c r="G15" s="3" t="s">
        <v>351</v>
      </c>
      <c r="H15" s="3" t="s">
        <v>108</v>
      </c>
      <c r="I15" s="3"/>
      <c r="J15" s="3"/>
      <c r="K15" s="3" t="s">
        <v>225</v>
      </c>
      <c r="L15" s="3" t="s">
        <v>95</v>
      </c>
      <c r="M15" s="8"/>
      <c r="N15" s="3"/>
      <c r="O15" s="19">
        <v>41921</v>
      </c>
      <c r="P15" s="19">
        <v>41916</v>
      </c>
      <c r="Q15" s="3">
        <v>50</v>
      </c>
      <c r="R15" s="3"/>
      <c r="S15" s="3"/>
      <c r="T15" s="3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>
        <f t="shared" si="1"/>
        <v>1748</v>
      </c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 t="s">
        <v>157</v>
      </c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</row>
    <row r="16" spans="1:168" s="26" customFormat="1" x14ac:dyDescent="0.25">
      <c r="A16" s="54" t="s">
        <v>307</v>
      </c>
      <c r="B16" s="16">
        <v>10</v>
      </c>
      <c r="C16" s="11">
        <v>14</v>
      </c>
      <c r="D16" s="14">
        <v>18</v>
      </c>
      <c r="E16" s="14">
        <f>AVERAGE(B16:D16)</f>
        <v>14</v>
      </c>
      <c r="F16" s="23"/>
      <c r="G16" s="3" t="s">
        <v>306</v>
      </c>
      <c r="H16" s="3" t="s">
        <v>9</v>
      </c>
      <c r="I16" s="3" t="s">
        <v>36</v>
      </c>
      <c r="J16" s="3" t="s">
        <v>362</v>
      </c>
      <c r="K16" s="3" t="s">
        <v>225</v>
      </c>
      <c r="L16" s="3" t="s">
        <v>250</v>
      </c>
      <c r="M16" s="8">
        <v>3</v>
      </c>
      <c r="N16" s="3" t="s">
        <v>198</v>
      </c>
      <c r="O16" s="19" t="s">
        <v>35</v>
      </c>
      <c r="P16" s="19">
        <v>41924</v>
      </c>
      <c r="Q16" s="3">
        <v>40</v>
      </c>
      <c r="R16" s="3">
        <v>5</v>
      </c>
      <c r="S16" s="3">
        <v>61</v>
      </c>
      <c r="T16" s="3"/>
      <c r="U16" s="3">
        <v>60</v>
      </c>
      <c r="V16" s="3">
        <v>28</v>
      </c>
      <c r="W16" s="3">
        <v>1.5</v>
      </c>
      <c r="X16" s="3">
        <v>1</v>
      </c>
      <c r="Y16" s="3">
        <v>0.5</v>
      </c>
      <c r="Z16" s="3" t="s">
        <v>299</v>
      </c>
      <c r="AA16" s="3" t="s">
        <v>299</v>
      </c>
      <c r="AB16" s="3" t="s">
        <v>166</v>
      </c>
      <c r="AC16" s="3">
        <v>5</v>
      </c>
      <c r="AD16" s="3">
        <v>20</v>
      </c>
      <c r="AE16" s="3"/>
      <c r="AF16" s="3" t="s">
        <v>307</v>
      </c>
      <c r="AG16" s="3">
        <v>1803</v>
      </c>
      <c r="AH16" s="3">
        <f t="shared" si="1"/>
        <v>1748</v>
      </c>
      <c r="AI16" s="22">
        <v>0</v>
      </c>
      <c r="AJ16" s="22">
        <v>-0.39</v>
      </c>
      <c r="AK16" s="3"/>
      <c r="AL16" s="3"/>
      <c r="AM16" s="3">
        <f>43816.94/12</f>
        <v>3651.4116666666669</v>
      </c>
      <c r="AN16" s="3">
        <f>(AM16*AI16)+AM16</f>
        <v>3651.4116666666669</v>
      </c>
      <c r="AO16" s="3">
        <f>AN16+AG16</f>
        <v>5454.4116666666669</v>
      </c>
      <c r="AP16" s="3">
        <f>AN16+AG16</f>
        <v>5454.4116666666669</v>
      </c>
      <c r="AQ16" s="3">
        <f>44901.88/12</f>
        <v>3741.8233333333333</v>
      </c>
      <c r="AR16" s="3">
        <f>(AQ16*AI16)+AQ16</f>
        <v>3741.8233333333333</v>
      </c>
      <c r="AS16" s="3">
        <f>AR16+AG16</f>
        <v>5544.8233333333337</v>
      </c>
      <c r="AT16" s="3">
        <f>AR16+AG16</f>
        <v>5544.8233333333337</v>
      </c>
      <c r="AU16" s="3">
        <f>46993.12/12</f>
        <v>3916.0933333333337</v>
      </c>
      <c r="AV16" s="3">
        <f>(AU16*AI16)+AU16</f>
        <v>3916.0933333333337</v>
      </c>
      <c r="AW16" s="3">
        <f>AV16+AG16</f>
        <v>5719.0933333333342</v>
      </c>
      <c r="AX16" s="3">
        <f>AV16+AG16</f>
        <v>5719.0933333333342</v>
      </c>
      <c r="AY16" s="3">
        <v>20</v>
      </c>
      <c r="AZ16" s="3" t="s">
        <v>455</v>
      </c>
      <c r="BA16" s="3" t="s">
        <v>289</v>
      </c>
      <c r="BB16" s="3" t="s">
        <v>132</v>
      </c>
      <c r="BC16" s="3" t="s">
        <v>243</v>
      </c>
      <c r="BD16" s="3"/>
      <c r="BE16" s="3" t="s">
        <v>441</v>
      </c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</row>
    <row r="17" spans="1:168" s="26" customFormat="1" x14ac:dyDescent="0.25">
      <c r="A17" s="54" t="s">
        <v>278</v>
      </c>
      <c r="B17" s="16">
        <v>3</v>
      </c>
      <c r="C17" s="25">
        <v>20</v>
      </c>
      <c r="D17" s="14">
        <v>20</v>
      </c>
      <c r="E17" s="14">
        <f>AVERAGE(B17:D17)</f>
        <v>14.333333333333334</v>
      </c>
      <c r="F17" s="23"/>
      <c r="G17" s="3" t="s">
        <v>313</v>
      </c>
      <c r="H17" s="3" t="s">
        <v>109</v>
      </c>
      <c r="I17" s="3" t="s">
        <v>413</v>
      </c>
      <c r="J17" s="3" t="s">
        <v>360</v>
      </c>
      <c r="K17" s="3" t="s">
        <v>225</v>
      </c>
      <c r="L17" s="3" t="s">
        <v>389</v>
      </c>
      <c r="M17" s="8">
        <v>3</v>
      </c>
      <c r="N17" s="3" t="s">
        <v>85</v>
      </c>
      <c r="O17" s="19" t="s">
        <v>34</v>
      </c>
      <c r="P17" s="19">
        <v>41912</v>
      </c>
      <c r="Q17" s="3">
        <v>20</v>
      </c>
      <c r="R17" s="3">
        <v>21</v>
      </c>
      <c r="S17" s="3">
        <v>62</v>
      </c>
      <c r="T17" s="3"/>
      <c r="U17" s="3">
        <v>54</v>
      </c>
      <c r="V17" s="3">
        <v>30</v>
      </c>
      <c r="W17" s="3">
        <v>1.6</v>
      </c>
      <c r="X17" s="3">
        <v>1</v>
      </c>
      <c r="Y17" s="3">
        <v>1</v>
      </c>
      <c r="Z17" s="3">
        <v>1</v>
      </c>
      <c r="AA17" s="3" t="s">
        <v>299</v>
      </c>
      <c r="AB17" s="3" t="s">
        <v>166</v>
      </c>
      <c r="AC17" s="3">
        <v>3</v>
      </c>
      <c r="AD17" s="3">
        <v>12</v>
      </c>
      <c r="AE17" s="3"/>
      <c r="AF17" s="3" t="s">
        <v>278</v>
      </c>
      <c r="AG17" s="3">
        <v>1701</v>
      </c>
      <c r="AH17" s="3">
        <f t="shared" si="1"/>
        <v>1748</v>
      </c>
      <c r="AI17" s="22">
        <v>0.02</v>
      </c>
      <c r="AJ17" s="22">
        <v>7.0000000000000007E-2</v>
      </c>
      <c r="AK17" s="3"/>
      <c r="AL17" s="3"/>
      <c r="AM17" s="3">
        <f>44305.99/12</f>
        <v>3692.165833333333</v>
      </c>
      <c r="AN17" s="3">
        <f>(AM17*AI17)+AM17</f>
        <v>3766.0091499999999</v>
      </c>
      <c r="AO17" s="3">
        <f>AN17+AG17</f>
        <v>5467.0091499999999</v>
      </c>
      <c r="AP17" s="3">
        <f>AN17+AH17</f>
        <v>5514.0091499999999</v>
      </c>
      <c r="AQ17" s="3">
        <f>45184.69/12</f>
        <v>3765.3908333333334</v>
      </c>
      <c r="AR17" s="3">
        <f>(AQ17*AI17)+AQ17</f>
        <v>3840.6986500000003</v>
      </c>
      <c r="AS17" s="3">
        <f>AR17+AG17</f>
        <v>5541.6986500000003</v>
      </c>
      <c r="AT17" s="3">
        <f>AR17+AH17</f>
        <v>5588.6986500000003</v>
      </c>
      <c r="AU17" s="3">
        <f>46826.06/12</f>
        <v>3902.1716666666666</v>
      </c>
      <c r="AV17" s="3">
        <f>(AU17*AI17)+AU17</f>
        <v>3980.2150999999999</v>
      </c>
      <c r="AW17" s="3">
        <f>AV17+AG17</f>
        <v>5681.2150999999994</v>
      </c>
      <c r="AX17" s="3">
        <f>AV17+AH17</f>
        <v>5728.2150999999994</v>
      </c>
      <c r="AY17" s="3">
        <v>15</v>
      </c>
      <c r="AZ17" s="3">
        <v>12</v>
      </c>
      <c r="BA17" s="3" t="s">
        <v>289</v>
      </c>
      <c r="BB17" s="3" t="s">
        <v>19</v>
      </c>
      <c r="BC17" s="3" t="s">
        <v>136</v>
      </c>
      <c r="BD17" s="3"/>
      <c r="BE17" s="3" t="s">
        <v>436</v>
      </c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</row>
    <row r="18" spans="1:168" s="26" customFormat="1" x14ac:dyDescent="0.25">
      <c r="A18" s="54" t="s">
        <v>125</v>
      </c>
      <c r="B18" s="16">
        <v>9</v>
      </c>
      <c r="C18" s="11">
        <v>17</v>
      </c>
      <c r="D18" s="14">
        <v>19</v>
      </c>
      <c r="E18" s="14">
        <f>AVERAGE(B18:D18)</f>
        <v>15</v>
      </c>
      <c r="F18" s="20"/>
      <c r="G18" s="3" t="s">
        <v>126</v>
      </c>
      <c r="H18" s="3" t="s">
        <v>284</v>
      </c>
      <c r="I18" s="3"/>
      <c r="J18" s="3"/>
      <c r="K18" s="3" t="s">
        <v>225</v>
      </c>
      <c r="L18" s="3" t="s">
        <v>285</v>
      </c>
      <c r="M18" s="8">
        <v>3</v>
      </c>
      <c r="N18" s="3" t="s">
        <v>286</v>
      </c>
      <c r="O18" s="19">
        <v>41922</v>
      </c>
      <c r="P18" s="19">
        <v>41924</v>
      </c>
      <c r="Q18" s="3">
        <v>11</v>
      </c>
      <c r="R18" s="3"/>
      <c r="S18" s="3"/>
      <c r="T18" s="3"/>
      <c r="U18" s="3">
        <v>65</v>
      </c>
      <c r="V18" s="3">
        <v>28</v>
      </c>
      <c r="W18" s="3">
        <v>1.5</v>
      </c>
      <c r="X18" s="3">
        <v>1</v>
      </c>
      <c r="Y18" s="3">
        <v>0.5</v>
      </c>
      <c r="Z18" s="3">
        <v>0.4</v>
      </c>
      <c r="AA18" s="3" t="s">
        <v>299</v>
      </c>
      <c r="AB18" s="3"/>
      <c r="AC18" s="3">
        <v>8</v>
      </c>
      <c r="AD18" s="3">
        <v>33</v>
      </c>
      <c r="AE18" s="3"/>
      <c r="AF18" s="3"/>
      <c r="AG18" s="3">
        <v>2175</v>
      </c>
      <c r="AH18" s="3">
        <f t="shared" si="1"/>
        <v>1748</v>
      </c>
      <c r="AI18" s="3"/>
      <c r="AJ18" s="3"/>
      <c r="AK18" s="24">
        <v>51800</v>
      </c>
      <c r="AL18" s="24"/>
      <c r="AM18" s="3">
        <v>55150</v>
      </c>
      <c r="AN18" s="3"/>
      <c r="AO18" s="3"/>
      <c r="AP18" s="3"/>
      <c r="AQ18" s="3">
        <v>57350</v>
      </c>
      <c r="AR18" s="3"/>
      <c r="AS18" s="3"/>
      <c r="AT18" s="3"/>
      <c r="AU18" s="3" t="s">
        <v>299</v>
      </c>
      <c r="AV18" s="3"/>
      <c r="AW18" s="3"/>
      <c r="AX18" s="3"/>
      <c r="AY18" s="3">
        <v>20</v>
      </c>
      <c r="AZ18" s="3">
        <v>0</v>
      </c>
      <c r="BA18" s="3"/>
      <c r="BB18" s="3"/>
      <c r="BC18" s="3"/>
      <c r="BD18" s="3" t="s">
        <v>288</v>
      </c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</row>
    <row r="19" spans="1:168" s="26" customFormat="1" x14ac:dyDescent="0.25">
      <c r="A19" s="55" t="s">
        <v>462</v>
      </c>
      <c r="B19" s="17"/>
      <c r="C19" s="12">
        <v>15</v>
      </c>
      <c r="D19" s="15">
        <v>16</v>
      </c>
      <c r="E19" s="14">
        <f>(C19+D19)/2</f>
        <v>15.5</v>
      </c>
      <c r="F19" s="21"/>
      <c r="G19" s="4" t="s">
        <v>403</v>
      </c>
      <c r="H19" s="4" t="s">
        <v>1</v>
      </c>
      <c r="I19" s="4"/>
      <c r="J19" s="4"/>
      <c r="K19" s="4" t="s">
        <v>225</v>
      </c>
      <c r="L19" s="4" t="s">
        <v>253</v>
      </c>
      <c r="M19" s="10">
        <v>3</v>
      </c>
      <c r="N19" s="4" t="s">
        <v>299</v>
      </c>
      <c r="O19" s="18">
        <v>41930</v>
      </c>
      <c r="P19" s="18">
        <v>41931</v>
      </c>
      <c r="Q19" s="4" t="s">
        <v>299</v>
      </c>
      <c r="R19" s="4" t="s">
        <v>299</v>
      </c>
      <c r="S19" s="4" t="s">
        <v>299</v>
      </c>
      <c r="T19" s="4"/>
      <c r="U19" s="4">
        <v>60</v>
      </c>
      <c r="V19" s="4">
        <v>24</v>
      </c>
      <c r="W19" s="4">
        <v>1.5</v>
      </c>
      <c r="X19" s="4">
        <v>1</v>
      </c>
      <c r="Y19" s="4">
        <v>1</v>
      </c>
      <c r="Z19" s="4">
        <v>0.4</v>
      </c>
      <c r="AA19" s="4" t="s">
        <v>299</v>
      </c>
      <c r="AB19" s="4"/>
      <c r="AC19" s="4">
        <v>12</v>
      </c>
      <c r="AD19" s="4">
        <v>40</v>
      </c>
      <c r="AE19" s="4"/>
      <c r="AF19" s="4"/>
      <c r="AG19" s="4"/>
      <c r="AH19" s="4">
        <f t="shared" si="1"/>
        <v>1748</v>
      </c>
      <c r="AI19" s="4"/>
      <c r="AJ19" s="4"/>
      <c r="AK19" s="4">
        <v>61821</v>
      </c>
      <c r="AL19" s="4"/>
      <c r="AM19" s="4">
        <v>66487</v>
      </c>
      <c r="AN19" s="4"/>
      <c r="AO19" s="4"/>
      <c r="AP19" s="4"/>
      <c r="AQ19" s="4">
        <v>68685</v>
      </c>
      <c r="AR19" s="4"/>
      <c r="AS19" s="4"/>
      <c r="AT19" s="4"/>
      <c r="AU19" s="4" t="s">
        <v>299</v>
      </c>
      <c r="AV19" s="4"/>
      <c r="AW19" s="4"/>
      <c r="AX19" s="4"/>
      <c r="AY19" s="4">
        <v>20</v>
      </c>
      <c r="AZ19" s="4">
        <v>90</v>
      </c>
      <c r="BA19" s="4" t="s">
        <v>160</v>
      </c>
      <c r="BB19" s="4" t="s">
        <v>132</v>
      </c>
      <c r="BC19" s="4" t="s">
        <v>136</v>
      </c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</row>
    <row r="20" spans="1:168" s="26" customFormat="1" x14ac:dyDescent="0.25">
      <c r="A20" s="54" t="s">
        <v>123</v>
      </c>
      <c r="B20" s="16">
        <v>11</v>
      </c>
      <c r="C20" s="11">
        <v>19</v>
      </c>
      <c r="D20" s="14">
        <v>17</v>
      </c>
      <c r="E20" s="14">
        <f>AVERAGE(B20:D20)</f>
        <v>15.666666666666666</v>
      </c>
      <c r="F20" s="20"/>
      <c r="G20" s="3" t="s">
        <v>224</v>
      </c>
      <c r="H20" s="3" t="s">
        <v>356</v>
      </c>
      <c r="I20" s="3" t="s">
        <v>420</v>
      </c>
      <c r="J20" s="3"/>
      <c r="K20" s="3" t="s">
        <v>225</v>
      </c>
      <c r="L20" s="3" t="s">
        <v>62</v>
      </c>
      <c r="M20" s="8">
        <v>3</v>
      </c>
      <c r="N20" s="3" t="s">
        <v>329</v>
      </c>
      <c r="O20" s="14" t="s">
        <v>419</v>
      </c>
      <c r="P20" s="19">
        <v>41917</v>
      </c>
      <c r="Q20" s="3">
        <v>5</v>
      </c>
      <c r="R20" s="3">
        <v>0</v>
      </c>
      <c r="S20" s="3">
        <v>69</v>
      </c>
      <c r="T20" s="3"/>
      <c r="U20" s="3">
        <v>50</v>
      </c>
      <c r="V20" s="3">
        <v>12</v>
      </c>
      <c r="W20" s="3">
        <v>2</v>
      </c>
      <c r="X20" s="3" t="s">
        <v>299</v>
      </c>
      <c r="Y20" s="3" t="s">
        <v>299</v>
      </c>
      <c r="Z20" s="3" t="s">
        <v>299</v>
      </c>
      <c r="AA20" s="3" t="s">
        <v>299</v>
      </c>
      <c r="AB20" s="3" t="s">
        <v>165</v>
      </c>
      <c r="AC20" s="3">
        <v>4</v>
      </c>
      <c r="AD20" s="3">
        <v>50</v>
      </c>
      <c r="AE20" s="3"/>
      <c r="AF20" s="3"/>
      <c r="AG20" s="3">
        <v>1719</v>
      </c>
      <c r="AH20" s="3">
        <f t="shared" si="1"/>
        <v>1748</v>
      </c>
      <c r="AI20" s="3"/>
      <c r="AJ20" s="3"/>
      <c r="AK20" s="3">
        <v>52958</v>
      </c>
      <c r="AL20" s="3"/>
      <c r="AM20" s="3">
        <v>55016</v>
      </c>
      <c r="AN20" s="3"/>
      <c r="AO20" s="3"/>
      <c r="AP20" s="3"/>
      <c r="AQ20" s="3">
        <v>57348</v>
      </c>
      <c r="AR20" s="3"/>
      <c r="AS20" s="3"/>
      <c r="AT20" s="3"/>
      <c r="AU20" s="3" t="s">
        <v>299</v>
      </c>
      <c r="AV20" s="3"/>
      <c r="AW20" s="3"/>
      <c r="AX20" s="3"/>
      <c r="AY20" s="3">
        <v>20</v>
      </c>
      <c r="AZ20" s="3">
        <v>0</v>
      </c>
      <c r="BA20" s="3" t="s">
        <v>72</v>
      </c>
      <c r="BB20" s="3" t="s">
        <v>335</v>
      </c>
      <c r="BC20" s="3" t="s">
        <v>73</v>
      </c>
      <c r="BD20" s="37" t="s">
        <v>459</v>
      </c>
      <c r="BE20" s="3" t="s">
        <v>26</v>
      </c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</row>
    <row r="21" spans="1:168" s="3" customFormat="1" x14ac:dyDescent="0.25">
      <c r="A21" s="55" t="s">
        <v>375</v>
      </c>
      <c r="B21" s="17">
        <v>19</v>
      </c>
      <c r="C21" s="12">
        <v>16</v>
      </c>
      <c r="D21" s="15">
        <v>12</v>
      </c>
      <c r="E21" s="14">
        <f>AVERAGE(B21:D21)</f>
        <v>15.666666666666666</v>
      </c>
      <c r="F21" s="21"/>
      <c r="G21" s="4" t="s">
        <v>225</v>
      </c>
      <c r="H21" s="4" t="s">
        <v>328</v>
      </c>
      <c r="I21" s="4" t="s">
        <v>378</v>
      </c>
      <c r="J21" s="4"/>
      <c r="K21" s="4" t="s">
        <v>225</v>
      </c>
      <c r="L21" s="4" t="s">
        <v>294</v>
      </c>
      <c r="M21" s="10">
        <v>3</v>
      </c>
      <c r="N21" s="4" t="s">
        <v>329</v>
      </c>
      <c r="O21" s="18">
        <v>41944</v>
      </c>
      <c r="P21" s="18">
        <v>41938</v>
      </c>
      <c r="Q21" s="4"/>
      <c r="R21" s="4"/>
      <c r="S21" s="4"/>
      <c r="T21" s="4"/>
      <c r="U21" s="4">
        <v>55</v>
      </c>
      <c r="V21" s="4">
        <v>30</v>
      </c>
      <c r="W21" s="4">
        <v>1.5</v>
      </c>
      <c r="X21" s="4">
        <v>1</v>
      </c>
      <c r="Y21" s="4">
        <v>0.5</v>
      </c>
      <c r="Z21" s="4" t="s">
        <v>299</v>
      </c>
      <c r="AA21" s="4" t="s">
        <v>299</v>
      </c>
      <c r="AB21" s="4"/>
      <c r="AC21" s="4">
        <v>5</v>
      </c>
      <c r="AD21" s="4">
        <v>20</v>
      </c>
      <c r="AE21" s="4"/>
      <c r="AF21" s="4"/>
      <c r="AG21" s="4"/>
      <c r="AH21" s="4">
        <f t="shared" si="1"/>
        <v>1748</v>
      </c>
      <c r="AI21" s="4"/>
      <c r="AJ21" s="4"/>
      <c r="AK21" s="36">
        <v>51903</v>
      </c>
      <c r="AL21" s="36"/>
      <c r="AM21" s="4">
        <v>54076</v>
      </c>
      <c r="AN21" s="4"/>
      <c r="AO21" s="4"/>
      <c r="AP21" s="4"/>
      <c r="AQ21" s="4">
        <v>56454</v>
      </c>
      <c r="AR21" s="4"/>
      <c r="AS21" s="4"/>
      <c r="AT21" s="4"/>
      <c r="AU21" s="4" t="s">
        <v>299</v>
      </c>
      <c r="AV21" s="4"/>
      <c r="AW21" s="4"/>
      <c r="AX21" s="4"/>
      <c r="AY21" s="4">
        <v>15</v>
      </c>
      <c r="AZ21" s="3" t="s">
        <v>455</v>
      </c>
      <c r="BA21" s="4" t="s">
        <v>289</v>
      </c>
      <c r="BB21" s="4" t="s">
        <v>78</v>
      </c>
      <c r="BC21" s="4" t="s">
        <v>73</v>
      </c>
      <c r="BD21" s="4" t="s">
        <v>330</v>
      </c>
      <c r="BE21" s="4" t="s">
        <v>159</v>
      </c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</row>
    <row r="22" spans="1:168" s="3" customFormat="1" x14ac:dyDescent="0.25">
      <c r="A22" s="55" t="s">
        <v>408</v>
      </c>
      <c r="B22" s="17"/>
      <c r="C22" s="12">
        <v>18</v>
      </c>
      <c r="D22" s="15">
        <v>14</v>
      </c>
      <c r="E22" s="14">
        <f>(C22+D22)/2</f>
        <v>16</v>
      </c>
      <c r="F22" s="21"/>
      <c r="G22" s="4" t="s">
        <v>403</v>
      </c>
      <c r="H22" s="4" t="s">
        <v>1</v>
      </c>
      <c r="I22" s="4"/>
      <c r="J22" s="4"/>
      <c r="K22" s="4" t="s">
        <v>292</v>
      </c>
      <c r="L22" s="4" t="s">
        <v>250</v>
      </c>
      <c r="M22" s="10">
        <v>3</v>
      </c>
      <c r="N22" s="4" t="s">
        <v>299</v>
      </c>
      <c r="O22" s="18">
        <v>41926</v>
      </c>
      <c r="P22" s="18">
        <v>41915</v>
      </c>
      <c r="Q22" s="4">
        <v>20</v>
      </c>
      <c r="R22" s="4">
        <v>23</v>
      </c>
      <c r="S22" s="4">
        <v>47</v>
      </c>
      <c r="T22" s="4"/>
      <c r="U22" s="4">
        <v>58</v>
      </c>
      <c r="V22" s="4">
        <v>27</v>
      </c>
      <c r="W22" s="4">
        <v>2</v>
      </c>
      <c r="X22" s="4">
        <v>1</v>
      </c>
      <c r="Y22" s="4">
        <v>1</v>
      </c>
      <c r="Z22" s="4">
        <v>0.5</v>
      </c>
      <c r="AA22" s="4" t="s">
        <v>299</v>
      </c>
      <c r="AB22" s="4"/>
      <c r="AC22" s="4">
        <v>8</v>
      </c>
      <c r="AD22" s="4">
        <v>50</v>
      </c>
      <c r="AE22" s="4"/>
      <c r="AF22" s="4"/>
      <c r="AG22" s="4"/>
      <c r="AH22" s="4">
        <f t="shared" si="1"/>
        <v>1748</v>
      </c>
      <c r="AI22" s="4"/>
      <c r="AJ22" s="4"/>
      <c r="AK22" s="4">
        <v>58298</v>
      </c>
      <c r="AL22" s="4"/>
      <c r="AM22" s="4">
        <v>61431</v>
      </c>
      <c r="AN22" s="4"/>
      <c r="AO22" s="4"/>
      <c r="AP22" s="4"/>
      <c r="AQ22" s="4">
        <v>63881</v>
      </c>
      <c r="AR22" s="4"/>
      <c r="AS22" s="4"/>
      <c r="AT22" s="4"/>
      <c r="AU22" s="4" t="s">
        <v>299</v>
      </c>
      <c r="AV22" s="4"/>
      <c r="AW22" s="4"/>
      <c r="AX22" s="4"/>
      <c r="AY22" s="4">
        <v>20</v>
      </c>
      <c r="AZ22" s="4">
        <v>12</v>
      </c>
      <c r="BA22" s="4" t="s">
        <v>289</v>
      </c>
      <c r="BB22" s="4" t="s">
        <v>252</v>
      </c>
      <c r="BC22" s="4" t="s">
        <v>136</v>
      </c>
      <c r="BD22" s="4" t="s">
        <v>251</v>
      </c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</row>
    <row r="23" spans="1:168" s="26" customFormat="1" x14ac:dyDescent="0.25">
      <c r="A23" s="54" t="s">
        <v>316</v>
      </c>
      <c r="B23" s="16">
        <v>13</v>
      </c>
      <c r="C23" s="11">
        <v>21</v>
      </c>
      <c r="D23" s="14">
        <v>25</v>
      </c>
      <c r="E23" s="14">
        <f>AVERAGE(B23:D23)</f>
        <v>19.666666666666668</v>
      </c>
      <c r="F23" s="20"/>
      <c r="G23" s="3" t="s">
        <v>313</v>
      </c>
      <c r="H23" s="3" t="s">
        <v>10</v>
      </c>
      <c r="I23" s="3" t="s">
        <v>425</v>
      </c>
      <c r="J23" s="3"/>
      <c r="K23" s="3" t="s">
        <v>292</v>
      </c>
      <c r="L23" s="3" t="s">
        <v>332</v>
      </c>
      <c r="M23" s="8">
        <v>3</v>
      </c>
      <c r="N23" s="3" t="s">
        <v>86</v>
      </c>
      <c r="O23" s="19">
        <v>41927</v>
      </c>
      <c r="P23" s="19">
        <v>41917</v>
      </c>
      <c r="Q23" s="3" t="s">
        <v>299</v>
      </c>
      <c r="R23" s="3" t="s">
        <v>299</v>
      </c>
      <c r="S23" s="3" t="s">
        <v>299</v>
      </c>
      <c r="T23" s="3"/>
      <c r="U23" s="3">
        <v>45</v>
      </c>
      <c r="V23" s="3">
        <v>16</v>
      </c>
      <c r="W23" s="3">
        <v>2</v>
      </c>
      <c r="X23" s="3" t="s">
        <v>299</v>
      </c>
      <c r="Y23" s="3" t="s">
        <v>299</v>
      </c>
      <c r="Z23" s="3" t="s">
        <v>299</v>
      </c>
      <c r="AA23" s="3" t="s">
        <v>299</v>
      </c>
      <c r="AB23" s="3"/>
      <c r="AC23" s="3">
        <v>5</v>
      </c>
      <c r="AD23" s="3">
        <v>30</v>
      </c>
      <c r="AE23" s="3"/>
      <c r="AF23" s="3"/>
      <c r="AG23" s="3">
        <v>1749</v>
      </c>
      <c r="AH23" s="3">
        <f t="shared" si="1"/>
        <v>1748</v>
      </c>
      <c r="AI23" s="3"/>
      <c r="AJ23" s="3"/>
      <c r="AK23" s="3">
        <v>54243</v>
      </c>
      <c r="AL23" s="3"/>
      <c r="AM23" s="3">
        <v>56179</v>
      </c>
      <c r="AN23" s="3"/>
      <c r="AO23" s="3"/>
      <c r="AP23" s="3"/>
      <c r="AQ23" s="3">
        <v>58233</v>
      </c>
      <c r="AR23" s="3"/>
      <c r="AS23" s="3"/>
      <c r="AT23" s="3"/>
      <c r="AU23" s="3" t="s">
        <v>299</v>
      </c>
      <c r="AV23" s="3"/>
      <c r="AW23" s="3"/>
      <c r="AX23" s="3"/>
      <c r="AY23" s="3">
        <v>15</v>
      </c>
      <c r="AZ23" s="3">
        <v>3</v>
      </c>
      <c r="BA23" s="3" t="s">
        <v>208</v>
      </c>
      <c r="BB23" s="3" t="s">
        <v>132</v>
      </c>
      <c r="BC23" s="3" t="s">
        <v>243</v>
      </c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</row>
    <row r="24" spans="1:168" s="4" customFormat="1" x14ac:dyDescent="0.25">
      <c r="A24" s="54" t="s">
        <v>214</v>
      </c>
      <c r="B24" s="16">
        <v>16</v>
      </c>
      <c r="C24" s="11">
        <v>23</v>
      </c>
      <c r="D24" s="14">
        <v>21</v>
      </c>
      <c r="E24" s="14">
        <f>AVERAGE(B24:D24)</f>
        <v>20</v>
      </c>
      <c r="F24" s="20"/>
      <c r="G24" s="3" t="s">
        <v>319</v>
      </c>
      <c r="H24" s="3" t="s">
        <v>213</v>
      </c>
      <c r="I24" s="3" t="s">
        <v>179</v>
      </c>
      <c r="J24" s="3"/>
      <c r="K24" s="3" t="s">
        <v>225</v>
      </c>
      <c r="L24" s="3" t="s">
        <v>294</v>
      </c>
      <c r="M24" s="8">
        <v>3</v>
      </c>
      <c r="N24" s="3" t="s">
        <v>43</v>
      </c>
      <c r="O24" s="19">
        <v>41902</v>
      </c>
      <c r="P24" s="19">
        <v>41902</v>
      </c>
      <c r="Q24" s="3"/>
      <c r="R24" s="3"/>
      <c r="S24" s="3"/>
      <c r="T24" s="3"/>
      <c r="U24" s="3"/>
      <c r="V24" s="3"/>
      <c r="W24" s="3"/>
      <c r="X24" s="3">
        <v>1</v>
      </c>
      <c r="Y24" s="3">
        <v>0.2</v>
      </c>
      <c r="Z24" s="3">
        <v>0.2</v>
      </c>
      <c r="AA24" s="3" t="s">
        <v>299</v>
      </c>
      <c r="AB24" s="3"/>
      <c r="AC24" s="3">
        <v>5</v>
      </c>
      <c r="AD24" s="3"/>
      <c r="AE24" s="3"/>
      <c r="AF24" s="3"/>
      <c r="AG24" s="3">
        <v>1377</v>
      </c>
      <c r="AH24" s="4">
        <f t="shared" si="1"/>
        <v>1748</v>
      </c>
      <c r="AK24" s="3">
        <v>52500</v>
      </c>
      <c r="AL24" s="3"/>
      <c r="AM24" s="3">
        <v>54400</v>
      </c>
      <c r="AN24" s="3"/>
      <c r="AO24" s="3"/>
      <c r="AP24" s="3"/>
      <c r="AQ24" s="3">
        <v>56000</v>
      </c>
      <c r="AR24" s="3"/>
      <c r="AS24" s="3"/>
      <c r="AT24" s="3"/>
      <c r="AU24" s="3" t="s">
        <v>299</v>
      </c>
      <c r="AV24" s="3"/>
      <c r="AW24" s="3"/>
      <c r="AX24" s="3"/>
      <c r="AY24" s="3">
        <v>21</v>
      </c>
      <c r="AZ24" s="3" t="s">
        <v>299</v>
      </c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26"/>
      <c r="FA24" s="26"/>
      <c r="FB24" s="26"/>
      <c r="FC24" s="26"/>
      <c r="FD24" s="26"/>
      <c r="FE24" s="26"/>
      <c r="FF24" s="26"/>
      <c r="FG24" s="26"/>
      <c r="FH24" s="26"/>
      <c r="FI24" s="26"/>
      <c r="FJ24" s="26"/>
      <c r="FK24" s="26"/>
      <c r="FL24" s="26"/>
    </row>
    <row r="25" spans="1:168" s="3" customFormat="1" x14ac:dyDescent="0.25">
      <c r="A25" s="54" t="s">
        <v>129</v>
      </c>
      <c r="B25" s="16">
        <v>7</v>
      </c>
      <c r="C25" s="11">
        <v>32</v>
      </c>
      <c r="D25" s="14">
        <v>27</v>
      </c>
      <c r="E25" s="14">
        <f>AVERAGE(B25:D25)</f>
        <v>22</v>
      </c>
      <c r="F25" s="20"/>
      <c r="G25" s="3" t="s">
        <v>350</v>
      </c>
      <c r="H25" s="3" t="s">
        <v>296</v>
      </c>
      <c r="I25" s="3" t="s">
        <v>20</v>
      </c>
      <c r="K25" s="3" t="s">
        <v>225</v>
      </c>
      <c r="L25" s="3" t="s">
        <v>294</v>
      </c>
      <c r="M25" s="8">
        <v>3</v>
      </c>
      <c r="N25" s="3" t="s">
        <v>91</v>
      </c>
      <c r="O25" s="19">
        <v>41923</v>
      </c>
      <c r="P25" s="19">
        <v>41917</v>
      </c>
      <c r="Q25" s="3">
        <v>25</v>
      </c>
      <c r="R25" s="3" t="s">
        <v>286</v>
      </c>
      <c r="AB25" s="3" t="s">
        <v>166</v>
      </c>
      <c r="AG25" s="3">
        <v>1326</v>
      </c>
      <c r="AH25" s="4">
        <f t="shared" si="1"/>
        <v>1748</v>
      </c>
      <c r="AI25" s="4"/>
      <c r="AJ25" s="4"/>
      <c r="AK25" s="3">
        <v>51900</v>
      </c>
      <c r="AM25" s="3">
        <v>54000</v>
      </c>
      <c r="AQ25" s="3">
        <v>56300</v>
      </c>
      <c r="AU25" s="3" t="s">
        <v>299</v>
      </c>
      <c r="AY25" s="3">
        <v>15</v>
      </c>
      <c r="AZ25" s="3">
        <v>12</v>
      </c>
      <c r="BD25" s="3" t="s">
        <v>92</v>
      </c>
      <c r="BE25" s="3" t="s">
        <v>93</v>
      </c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</row>
    <row r="26" spans="1:168" s="26" customFormat="1" x14ac:dyDescent="0.25">
      <c r="A26" s="54" t="s">
        <v>259</v>
      </c>
      <c r="B26" s="16">
        <v>26</v>
      </c>
      <c r="C26" s="11">
        <v>26</v>
      </c>
      <c r="D26" s="14">
        <v>24</v>
      </c>
      <c r="E26" s="14">
        <f>AVERAGE(B26:D26)</f>
        <v>25.333333333333332</v>
      </c>
      <c r="F26" s="20"/>
      <c r="G26" s="3" t="s">
        <v>258</v>
      </c>
      <c r="H26" s="3" t="s">
        <v>392</v>
      </c>
      <c r="I26" s="3" t="s">
        <v>398</v>
      </c>
      <c r="J26" s="3"/>
      <c r="K26" s="3" t="s">
        <v>225</v>
      </c>
      <c r="L26" s="3" t="s">
        <v>393</v>
      </c>
      <c r="M26" s="8">
        <v>3</v>
      </c>
      <c r="N26" s="3" t="s">
        <v>343</v>
      </c>
      <c r="O26" s="14" t="s">
        <v>424</v>
      </c>
      <c r="P26" s="19">
        <v>41909</v>
      </c>
      <c r="Q26" s="3" t="s">
        <v>299</v>
      </c>
      <c r="R26" s="3" t="s">
        <v>299</v>
      </c>
      <c r="S26" s="3" t="s">
        <v>299</v>
      </c>
      <c r="T26" s="3"/>
      <c r="U26" s="3">
        <v>50</v>
      </c>
      <c r="V26" s="3">
        <v>28</v>
      </c>
      <c r="W26" s="3">
        <v>1.5</v>
      </c>
      <c r="X26" s="3" t="s">
        <v>299</v>
      </c>
      <c r="Y26" s="3">
        <v>1</v>
      </c>
      <c r="Z26" s="3">
        <v>0.7</v>
      </c>
      <c r="AA26" s="3">
        <v>0.4</v>
      </c>
      <c r="AB26" s="3"/>
      <c r="AC26" s="3">
        <v>5</v>
      </c>
      <c r="AD26" s="3">
        <v>15</v>
      </c>
      <c r="AE26" s="3"/>
      <c r="AF26" s="3"/>
      <c r="AG26" s="3">
        <v>1407</v>
      </c>
      <c r="AH26" s="3">
        <f t="shared" si="1"/>
        <v>1748</v>
      </c>
      <c r="AI26" s="3"/>
      <c r="AJ26" s="3"/>
      <c r="AK26" s="3">
        <v>49930</v>
      </c>
      <c r="AL26" s="3"/>
      <c r="AM26" s="3">
        <v>51677</v>
      </c>
      <c r="AN26" s="3"/>
      <c r="AO26" s="3"/>
      <c r="AP26" s="3"/>
      <c r="AQ26" s="3">
        <v>53485</v>
      </c>
      <c r="AR26" s="3"/>
      <c r="AS26" s="3"/>
      <c r="AT26" s="3"/>
      <c r="AU26" s="3" t="s">
        <v>299</v>
      </c>
      <c r="AV26" s="3"/>
      <c r="AW26" s="3"/>
      <c r="AX26" s="3"/>
      <c r="AY26" s="3">
        <v>14</v>
      </c>
      <c r="AZ26" s="3" t="s">
        <v>455</v>
      </c>
      <c r="BA26" s="3" t="s">
        <v>289</v>
      </c>
      <c r="BB26" s="3" t="s">
        <v>252</v>
      </c>
      <c r="BC26" s="3" t="s">
        <v>136</v>
      </c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</row>
    <row r="27" spans="1:168" s="26" customFormat="1" x14ac:dyDescent="0.25">
      <c r="A27" s="55" t="s">
        <v>407</v>
      </c>
      <c r="B27" s="16"/>
      <c r="C27" s="11">
        <v>25</v>
      </c>
      <c r="D27" s="14">
        <v>26</v>
      </c>
      <c r="E27" s="14">
        <f>(C27+D27)/2</f>
        <v>25.5</v>
      </c>
      <c r="F27" s="20"/>
      <c r="G27" s="4" t="s">
        <v>403</v>
      </c>
      <c r="H27" s="4" t="s">
        <v>249</v>
      </c>
      <c r="I27" s="4"/>
      <c r="J27" s="4"/>
      <c r="K27" s="4" t="s">
        <v>225</v>
      </c>
      <c r="L27" s="4"/>
      <c r="M27" s="10"/>
      <c r="N27" s="4"/>
      <c r="O27" s="14" t="s">
        <v>66</v>
      </c>
      <c r="P27" s="19">
        <v>41909</v>
      </c>
      <c r="Q27" s="4"/>
      <c r="R27" s="4"/>
      <c r="S27" s="4"/>
      <c r="T27" s="3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>
        <f t="shared" si="1"/>
        <v>1748</v>
      </c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</row>
    <row r="28" spans="1:168" s="26" customFormat="1" x14ac:dyDescent="0.25">
      <c r="A28" s="54" t="s">
        <v>304</v>
      </c>
      <c r="B28" s="16">
        <v>17</v>
      </c>
      <c r="C28" s="11">
        <v>29</v>
      </c>
      <c r="D28" s="14">
        <v>32</v>
      </c>
      <c r="E28" s="14">
        <f>AVERAGE(B28:D28)</f>
        <v>26</v>
      </c>
      <c r="F28" s="20"/>
      <c r="G28" s="3" t="s">
        <v>262</v>
      </c>
      <c r="H28" s="3" t="s">
        <v>191</v>
      </c>
      <c r="I28" s="3" t="s">
        <v>271</v>
      </c>
      <c r="J28" s="3"/>
      <c r="K28" s="3" t="s">
        <v>225</v>
      </c>
      <c r="L28" s="3" t="s">
        <v>192</v>
      </c>
      <c r="M28" s="8">
        <v>3</v>
      </c>
      <c r="N28" s="3" t="s">
        <v>193</v>
      </c>
      <c r="O28" s="14" t="s">
        <v>241</v>
      </c>
      <c r="P28" s="19">
        <v>41916</v>
      </c>
      <c r="Q28" s="3">
        <v>22</v>
      </c>
      <c r="R28" s="3">
        <v>43</v>
      </c>
      <c r="S28" s="3">
        <v>71</v>
      </c>
      <c r="T28" s="3"/>
      <c r="U28" s="3">
        <v>55</v>
      </c>
      <c r="V28" s="3">
        <v>16</v>
      </c>
      <c r="W28" s="3">
        <v>1.7</v>
      </c>
      <c r="X28" s="3">
        <v>1.7</v>
      </c>
      <c r="Y28" s="3">
        <v>1</v>
      </c>
      <c r="Z28" s="3">
        <v>0.4</v>
      </c>
      <c r="AA28" s="3" t="s">
        <v>299</v>
      </c>
      <c r="AB28" s="3"/>
      <c r="AC28" s="3">
        <v>6</v>
      </c>
      <c r="AD28" s="3">
        <v>20</v>
      </c>
      <c r="AE28" s="3"/>
      <c r="AF28" s="3"/>
      <c r="AG28" s="3"/>
      <c r="AH28" s="3">
        <f t="shared" si="1"/>
        <v>1748</v>
      </c>
      <c r="AI28" s="3"/>
      <c r="AJ28" s="3"/>
      <c r="AK28" s="3">
        <v>49816</v>
      </c>
      <c r="AL28" s="3"/>
      <c r="AM28" s="3">
        <v>51542</v>
      </c>
      <c r="AN28" s="3"/>
      <c r="AO28" s="3"/>
      <c r="AP28" s="3"/>
      <c r="AQ28" s="3">
        <v>53206</v>
      </c>
      <c r="AR28" s="3"/>
      <c r="AS28" s="3"/>
      <c r="AT28" s="3"/>
      <c r="AU28" s="3">
        <v>55348</v>
      </c>
      <c r="AV28" s="3"/>
      <c r="AW28" s="3"/>
      <c r="AX28" s="3"/>
      <c r="AY28" s="3">
        <v>20</v>
      </c>
      <c r="AZ28" s="3">
        <v>10</v>
      </c>
      <c r="BA28" s="3" t="s">
        <v>289</v>
      </c>
      <c r="BB28" s="3" t="s">
        <v>132</v>
      </c>
      <c r="BC28" s="3" t="s">
        <v>303</v>
      </c>
      <c r="BD28" s="3" t="s">
        <v>194</v>
      </c>
      <c r="BE28" s="3" t="s">
        <v>144</v>
      </c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</row>
    <row r="29" spans="1:168" s="26" customFormat="1" x14ac:dyDescent="0.25">
      <c r="A29" s="54" t="s">
        <v>314</v>
      </c>
      <c r="B29" s="16">
        <v>32</v>
      </c>
      <c r="C29" s="11">
        <v>24</v>
      </c>
      <c r="D29" s="14">
        <v>23</v>
      </c>
      <c r="E29" s="14">
        <f>AVERAGE(B29:D29)</f>
        <v>26.333333333333332</v>
      </c>
      <c r="F29" s="20"/>
      <c r="G29" s="3" t="s">
        <v>313</v>
      </c>
      <c r="H29" s="3" t="s">
        <v>11</v>
      </c>
      <c r="I29" s="3" t="s">
        <v>39</v>
      </c>
      <c r="J29" s="3" t="s">
        <v>361</v>
      </c>
      <c r="K29" s="3" t="s">
        <v>40</v>
      </c>
      <c r="L29" s="3" t="s">
        <v>206</v>
      </c>
      <c r="M29" s="8">
        <v>3</v>
      </c>
      <c r="N29" s="3" t="s">
        <v>67</v>
      </c>
      <c r="O29" s="19">
        <v>41914</v>
      </c>
      <c r="P29" s="19">
        <v>41923</v>
      </c>
      <c r="Q29" s="3">
        <v>29</v>
      </c>
      <c r="R29" s="3">
        <v>30</v>
      </c>
      <c r="S29" s="3">
        <v>85</v>
      </c>
      <c r="T29" s="3"/>
      <c r="U29" s="3">
        <v>45</v>
      </c>
      <c r="V29" s="3">
        <v>30</v>
      </c>
      <c r="W29" s="3">
        <v>2.5</v>
      </c>
      <c r="X29" s="3">
        <v>0.4</v>
      </c>
      <c r="Y29" s="3">
        <v>0.4</v>
      </c>
      <c r="Z29" s="3" t="s">
        <v>299</v>
      </c>
      <c r="AA29" s="3" t="s">
        <v>299</v>
      </c>
      <c r="AB29" s="3" t="s">
        <v>166</v>
      </c>
      <c r="AC29" s="3">
        <v>4</v>
      </c>
      <c r="AD29" s="3">
        <v>25</v>
      </c>
      <c r="AE29" s="3"/>
      <c r="AF29" s="3" t="s">
        <v>314</v>
      </c>
      <c r="AG29" s="3">
        <v>1749</v>
      </c>
      <c r="AH29" s="3">
        <f t="shared" si="1"/>
        <v>1748</v>
      </c>
      <c r="AI29" s="22">
        <v>-0.06</v>
      </c>
      <c r="AJ29" s="22">
        <v>0.19</v>
      </c>
      <c r="AK29" s="3"/>
      <c r="AL29" s="3"/>
      <c r="AM29" s="24">
        <f>50588.36/12</f>
        <v>4215.6966666666667</v>
      </c>
      <c r="AN29" s="3">
        <f>(AM29*AI29)+AM29</f>
        <v>3962.7548666666667</v>
      </c>
      <c r="AO29" s="3">
        <f>AN29+AG29</f>
        <v>5711.7548666666662</v>
      </c>
      <c r="AP29" s="3">
        <f>AN29+AG29</f>
        <v>5711.7548666666662</v>
      </c>
      <c r="AQ29" s="3">
        <f>52463.32/12</f>
        <v>4371.9433333333336</v>
      </c>
      <c r="AR29" s="3">
        <f>(AQ29*AI29)+AQ29</f>
        <v>4109.6267333333335</v>
      </c>
      <c r="AS29" s="3">
        <f>AR29+AG29</f>
        <v>5858.6267333333335</v>
      </c>
      <c r="AT29" s="3">
        <f>AR29+AG29</f>
        <v>5858.6267333333335</v>
      </c>
      <c r="AU29" s="3">
        <f>54377.74/12</f>
        <v>4531.4783333333335</v>
      </c>
      <c r="AV29" s="3">
        <f>(AU29*AI29)+AU29</f>
        <v>4259.589633333333</v>
      </c>
      <c r="AW29" s="3">
        <f>AV29+AG29</f>
        <v>6008.589633333333</v>
      </c>
      <c r="AX29" s="3">
        <f>AV29+AG29</f>
        <v>6008.589633333333</v>
      </c>
      <c r="AY29" s="3">
        <v>15</v>
      </c>
      <c r="AZ29" s="3">
        <v>10</v>
      </c>
      <c r="BA29" s="3" t="s">
        <v>290</v>
      </c>
      <c r="BB29" s="3" t="s">
        <v>132</v>
      </c>
      <c r="BC29" s="3" t="s">
        <v>136</v>
      </c>
      <c r="BD29" s="3" t="s">
        <v>68</v>
      </c>
      <c r="BE29" s="3" t="s">
        <v>435</v>
      </c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</row>
    <row r="30" spans="1:168" s="3" customFormat="1" x14ac:dyDescent="0.25">
      <c r="A30" s="54" t="s">
        <v>121</v>
      </c>
      <c r="B30" s="16">
        <v>31</v>
      </c>
      <c r="C30" s="11">
        <v>27</v>
      </c>
      <c r="D30" s="14">
        <v>30</v>
      </c>
      <c r="E30" s="14">
        <f>AVERAGE(B30:D30)</f>
        <v>29.333333333333332</v>
      </c>
      <c r="F30" s="20"/>
      <c r="G30" s="3" t="s">
        <v>223</v>
      </c>
      <c r="H30" s="3" t="s">
        <v>105</v>
      </c>
      <c r="I30" s="3" t="s">
        <v>426</v>
      </c>
      <c r="J30" s="3" t="s">
        <v>427</v>
      </c>
      <c r="K30" s="3" t="s">
        <v>225</v>
      </c>
      <c r="L30" s="3" t="s">
        <v>220</v>
      </c>
      <c r="M30" s="8">
        <v>3</v>
      </c>
      <c r="N30" s="3" t="s">
        <v>221</v>
      </c>
      <c r="O30" s="19">
        <v>41929</v>
      </c>
      <c r="P30" s="19">
        <v>41936</v>
      </c>
      <c r="U30" s="3">
        <v>45</v>
      </c>
      <c r="V30" s="3">
        <v>14</v>
      </c>
      <c r="W30" s="3">
        <v>1.8</v>
      </c>
      <c r="X30" s="3" t="s">
        <v>299</v>
      </c>
      <c r="Y30" s="3" t="s">
        <v>299</v>
      </c>
      <c r="Z30" s="3" t="s">
        <v>299</v>
      </c>
      <c r="AA30" s="3" t="s">
        <v>299</v>
      </c>
      <c r="AC30" s="3">
        <v>7</v>
      </c>
      <c r="AD30" s="3">
        <v>75</v>
      </c>
      <c r="AG30" s="3">
        <v>2184</v>
      </c>
      <c r="AH30" s="3">
        <f t="shared" si="1"/>
        <v>1748</v>
      </c>
      <c r="AK30" s="3">
        <v>53125</v>
      </c>
      <c r="AM30" s="3">
        <v>55218</v>
      </c>
      <c r="AQ30" s="3">
        <v>57590</v>
      </c>
      <c r="AU30" s="3" t="s">
        <v>299</v>
      </c>
      <c r="AY30" s="3">
        <v>20</v>
      </c>
      <c r="AZ30" s="3">
        <v>10</v>
      </c>
      <c r="BA30" s="3" t="s">
        <v>72</v>
      </c>
      <c r="BB30" s="3" t="s">
        <v>73</v>
      </c>
      <c r="BC30" s="3" t="s">
        <v>73</v>
      </c>
      <c r="BE30" s="3" t="s">
        <v>143</v>
      </c>
    </row>
    <row r="31" spans="1:168" s="3" customFormat="1" x14ac:dyDescent="0.25">
      <c r="A31" s="54" t="s">
        <v>238</v>
      </c>
      <c r="B31" s="16">
        <v>35</v>
      </c>
      <c r="C31" s="11">
        <v>28</v>
      </c>
      <c r="D31" s="14">
        <v>28</v>
      </c>
      <c r="E31" s="14">
        <f>AVERAGE(B31:D31)</f>
        <v>30.333333333333332</v>
      </c>
      <c r="F31" s="20"/>
      <c r="G31" s="3" t="s">
        <v>223</v>
      </c>
      <c r="H31" s="3" t="s">
        <v>219</v>
      </c>
      <c r="I31" s="3" t="s">
        <v>411</v>
      </c>
      <c r="J31" s="3" t="s">
        <v>264</v>
      </c>
      <c r="K31" s="3" t="s">
        <v>225</v>
      </c>
      <c r="L31" s="3" t="s">
        <v>410</v>
      </c>
      <c r="M31" s="8">
        <v>3</v>
      </c>
      <c r="O31" s="19">
        <v>41936</v>
      </c>
      <c r="P31" s="19">
        <v>41924</v>
      </c>
      <c r="AG31" s="3">
        <v>1629</v>
      </c>
      <c r="AH31" s="3">
        <v>1748</v>
      </c>
      <c r="AY31" s="3">
        <v>24</v>
      </c>
      <c r="AZ31" s="3">
        <v>12</v>
      </c>
      <c r="BB31" s="3" t="s">
        <v>89</v>
      </c>
      <c r="BC31" s="3" t="s">
        <v>457</v>
      </c>
      <c r="BE31" s="3" t="s">
        <v>90</v>
      </c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</row>
    <row r="32" spans="1:168" s="4" customFormat="1" x14ac:dyDescent="0.25">
      <c r="A32" s="54" t="s">
        <v>128</v>
      </c>
      <c r="B32" s="16">
        <v>35</v>
      </c>
      <c r="C32" s="11">
        <v>30</v>
      </c>
      <c r="D32" s="14">
        <v>29</v>
      </c>
      <c r="E32" s="14">
        <f>AVERAGE(B32:D32)</f>
        <v>31.333333333333332</v>
      </c>
      <c r="F32" s="20"/>
      <c r="G32" s="3" t="s">
        <v>226</v>
      </c>
      <c r="H32" s="3" t="s">
        <v>293</v>
      </c>
      <c r="I32" s="3"/>
      <c r="J32" s="3"/>
      <c r="K32" s="3" t="s">
        <v>225</v>
      </c>
      <c r="L32" s="3" t="s">
        <v>294</v>
      </c>
      <c r="M32" s="8">
        <v>3</v>
      </c>
      <c r="N32" s="3" t="s">
        <v>295</v>
      </c>
      <c r="O32" s="19">
        <v>41919</v>
      </c>
      <c r="P32" s="19">
        <v>41915</v>
      </c>
      <c r="Q32" s="3">
        <v>33</v>
      </c>
      <c r="R32" s="3">
        <v>25</v>
      </c>
      <c r="S32" s="3">
        <v>70</v>
      </c>
      <c r="T32" s="3"/>
      <c r="U32" s="3">
        <v>50</v>
      </c>
      <c r="V32" s="3">
        <v>10</v>
      </c>
      <c r="W32" s="3">
        <v>2</v>
      </c>
      <c r="X32" s="3">
        <v>0.5</v>
      </c>
      <c r="Y32" s="3">
        <v>0.5</v>
      </c>
      <c r="Z32" s="3">
        <v>0.5</v>
      </c>
      <c r="AA32" s="3" t="s">
        <v>299</v>
      </c>
      <c r="AB32" s="3"/>
      <c r="AC32" s="3">
        <v>5</v>
      </c>
      <c r="AD32" s="3">
        <v>30</v>
      </c>
      <c r="AE32" s="3"/>
      <c r="AF32" s="3"/>
      <c r="AG32" s="3"/>
      <c r="AH32" s="3">
        <f t="shared" ref="AH32:AH38" si="2">(1648+150)-50</f>
        <v>1748</v>
      </c>
      <c r="AI32" s="3"/>
      <c r="AJ32" s="3"/>
      <c r="AK32" s="3">
        <v>51428</v>
      </c>
      <c r="AL32" s="3"/>
      <c r="AM32" s="3">
        <v>53454</v>
      </c>
      <c r="AN32" s="3"/>
      <c r="AO32" s="3"/>
      <c r="AP32" s="3"/>
      <c r="AQ32" s="3">
        <v>55750</v>
      </c>
      <c r="AR32" s="3"/>
      <c r="AS32" s="3"/>
      <c r="AT32" s="3"/>
      <c r="AU32" s="3" t="s">
        <v>299</v>
      </c>
      <c r="AV32" s="3"/>
      <c r="AW32" s="3"/>
      <c r="AX32" s="3"/>
      <c r="AY32" s="3">
        <v>20</v>
      </c>
      <c r="AZ32" s="3">
        <v>14</v>
      </c>
      <c r="BA32" s="3" t="s">
        <v>302</v>
      </c>
      <c r="BB32" s="3" t="s">
        <v>78</v>
      </c>
      <c r="BC32" s="3" t="s">
        <v>73</v>
      </c>
      <c r="BD32" s="3" t="s">
        <v>104</v>
      </c>
      <c r="BE32" s="3" t="s">
        <v>144</v>
      </c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</row>
    <row r="33" spans="1:168" s="3" customFormat="1" x14ac:dyDescent="0.25">
      <c r="A33" s="55" t="s">
        <v>130</v>
      </c>
      <c r="B33" s="17"/>
      <c r="C33" s="12">
        <v>31</v>
      </c>
      <c r="D33" s="15">
        <v>34</v>
      </c>
      <c r="E33" s="14">
        <f>(C33+D33)/2</f>
        <v>32.5</v>
      </c>
      <c r="F33" s="21"/>
      <c r="G33" s="4" t="s">
        <v>351</v>
      </c>
      <c r="H33" s="3" t="s">
        <v>355</v>
      </c>
      <c r="K33" s="4" t="s">
        <v>225</v>
      </c>
      <c r="L33" s="4"/>
      <c r="M33" s="10"/>
      <c r="N33" s="4"/>
      <c r="O33" s="18">
        <v>41927</v>
      </c>
      <c r="P33" s="18">
        <v>41934</v>
      </c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>
        <f t="shared" si="2"/>
        <v>1748</v>
      </c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</row>
    <row r="34" spans="1:168" s="4" customFormat="1" x14ac:dyDescent="0.25">
      <c r="A34" s="55" t="s">
        <v>308</v>
      </c>
      <c r="B34" s="17"/>
      <c r="C34" s="12">
        <v>34</v>
      </c>
      <c r="D34" s="15">
        <v>31</v>
      </c>
      <c r="E34" s="14">
        <f>(C34+D34)/2</f>
        <v>32.5</v>
      </c>
      <c r="F34" s="21"/>
      <c r="G34" s="4" t="s">
        <v>306</v>
      </c>
      <c r="H34" s="4" t="s">
        <v>195</v>
      </c>
      <c r="I34" s="4" t="s">
        <v>229</v>
      </c>
      <c r="K34" s="4" t="s">
        <v>225</v>
      </c>
      <c r="L34" s="4" t="s">
        <v>199</v>
      </c>
      <c r="M34" s="10">
        <v>3</v>
      </c>
      <c r="N34" s="4" t="s">
        <v>299</v>
      </c>
      <c r="O34" s="18">
        <v>41922</v>
      </c>
      <c r="P34" s="18">
        <v>41930</v>
      </c>
      <c r="Q34" s="4">
        <v>15</v>
      </c>
      <c r="R34" s="4">
        <v>16</v>
      </c>
      <c r="S34" s="4">
        <v>70</v>
      </c>
      <c r="U34" s="4" t="s">
        <v>299</v>
      </c>
      <c r="V34" s="4" t="s">
        <v>299</v>
      </c>
      <c r="W34" s="4" t="s">
        <v>299</v>
      </c>
      <c r="X34" s="4" t="s">
        <v>299</v>
      </c>
      <c r="Y34" s="4" t="s">
        <v>299</v>
      </c>
      <c r="Z34" s="4" t="s">
        <v>299</v>
      </c>
      <c r="AA34" s="4" t="s">
        <v>299</v>
      </c>
      <c r="AC34" s="4">
        <v>4</v>
      </c>
      <c r="AD34" s="4" t="s">
        <v>299</v>
      </c>
      <c r="AH34" s="4">
        <f t="shared" si="2"/>
        <v>1748</v>
      </c>
      <c r="AK34" s="4">
        <v>51084</v>
      </c>
      <c r="AM34" s="4">
        <v>52478</v>
      </c>
      <c r="AQ34" s="4">
        <v>54059</v>
      </c>
      <c r="AU34" s="4">
        <v>57116</v>
      </c>
      <c r="AY34" s="4">
        <v>10</v>
      </c>
      <c r="AZ34" s="4">
        <v>3</v>
      </c>
      <c r="BA34" s="4" t="s">
        <v>289</v>
      </c>
      <c r="BB34" s="4" t="s">
        <v>132</v>
      </c>
      <c r="BC34" s="4" t="s">
        <v>136</v>
      </c>
    </row>
    <row r="35" spans="1:168" s="4" customFormat="1" x14ac:dyDescent="0.25">
      <c r="A35" s="54" t="s">
        <v>245</v>
      </c>
      <c r="B35" s="16">
        <v>29</v>
      </c>
      <c r="C35" s="11">
        <v>35</v>
      </c>
      <c r="D35" s="14">
        <v>40</v>
      </c>
      <c r="E35" s="14">
        <f t="shared" ref="E35:E44" si="3">AVERAGE(B35:D35)</f>
        <v>34.666666666666664</v>
      </c>
      <c r="F35" s="20"/>
      <c r="G35" s="3" t="s">
        <v>59</v>
      </c>
      <c r="H35" s="3" t="s">
        <v>137</v>
      </c>
      <c r="I35" s="3" t="s">
        <v>397</v>
      </c>
      <c r="J35" s="3"/>
      <c r="K35" s="3" t="s">
        <v>225</v>
      </c>
      <c r="L35" s="3" t="s">
        <v>62</v>
      </c>
      <c r="M35" s="8">
        <v>3</v>
      </c>
      <c r="N35" s="3" t="s">
        <v>242</v>
      </c>
      <c r="O35" s="19">
        <v>41909</v>
      </c>
      <c r="P35" s="19">
        <v>41921</v>
      </c>
      <c r="Q35" s="3">
        <v>48</v>
      </c>
      <c r="R35" s="3">
        <v>0</v>
      </c>
      <c r="S35" s="3">
        <v>78</v>
      </c>
      <c r="T35" s="3"/>
      <c r="U35" s="3">
        <v>55</v>
      </c>
      <c r="V35" s="3">
        <v>12</v>
      </c>
      <c r="W35" s="3">
        <v>2</v>
      </c>
      <c r="X35" s="3" t="s">
        <v>299</v>
      </c>
      <c r="Y35" s="3" t="s">
        <v>299</v>
      </c>
      <c r="Z35" s="3" t="s">
        <v>299</v>
      </c>
      <c r="AA35" s="3" t="s">
        <v>299</v>
      </c>
      <c r="AB35" s="3"/>
      <c r="AC35" s="3">
        <v>5</v>
      </c>
      <c r="AD35" s="3">
        <v>20</v>
      </c>
      <c r="AE35" s="3"/>
      <c r="AF35" s="3"/>
      <c r="AG35" s="3">
        <v>882</v>
      </c>
      <c r="AH35" s="3">
        <f t="shared" si="2"/>
        <v>1748</v>
      </c>
      <c r="AI35" s="3"/>
      <c r="AJ35" s="3"/>
      <c r="AK35" s="3">
        <v>51134</v>
      </c>
      <c r="AL35" s="3"/>
      <c r="AM35" s="3">
        <v>52899</v>
      </c>
      <c r="AN35" s="3"/>
      <c r="AO35" s="3"/>
      <c r="AP35" s="3"/>
      <c r="AQ35" s="3">
        <v>55009</v>
      </c>
      <c r="AR35" s="3"/>
      <c r="AS35" s="3"/>
      <c r="AT35" s="3"/>
      <c r="AU35" s="3" t="s">
        <v>299</v>
      </c>
      <c r="AV35" s="3"/>
      <c r="AW35" s="3"/>
      <c r="AX35" s="3"/>
      <c r="AY35" s="3">
        <v>20</v>
      </c>
      <c r="AZ35" s="3">
        <v>10</v>
      </c>
      <c r="BA35" s="3" t="s">
        <v>289</v>
      </c>
      <c r="BB35" s="3" t="s">
        <v>132</v>
      </c>
      <c r="BC35" s="3" t="s">
        <v>136</v>
      </c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26"/>
      <c r="EL35" s="26"/>
      <c r="EM35" s="26"/>
      <c r="EN35" s="26"/>
      <c r="EO35" s="26"/>
      <c r="EP35" s="26"/>
      <c r="EQ35" s="26"/>
      <c r="ER35" s="26"/>
      <c r="ES35" s="26"/>
      <c r="ET35" s="26"/>
      <c r="EU35" s="26"/>
      <c r="EV35" s="26"/>
      <c r="EW35" s="26"/>
      <c r="EX35" s="26"/>
      <c r="EY35" s="26"/>
      <c r="EZ35" s="26"/>
      <c r="FA35" s="26"/>
      <c r="FB35" s="26"/>
      <c r="FC35" s="26"/>
      <c r="FD35" s="26"/>
      <c r="FE35" s="26"/>
      <c r="FF35" s="26"/>
      <c r="FG35" s="26"/>
      <c r="FH35" s="26"/>
      <c r="FI35" s="26"/>
      <c r="FJ35" s="26"/>
      <c r="FK35" s="26"/>
      <c r="FL35" s="26"/>
    </row>
    <row r="36" spans="1:168" s="4" customFormat="1" x14ac:dyDescent="0.25">
      <c r="A36" s="54" t="s">
        <v>273</v>
      </c>
      <c r="B36" s="27">
        <v>35</v>
      </c>
      <c r="C36" s="28">
        <v>36</v>
      </c>
      <c r="D36" s="29">
        <v>33</v>
      </c>
      <c r="E36" s="14">
        <f t="shared" si="3"/>
        <v>34.666666666666664</v>
      </c>
      <c r="F36" s="30"/>
      <c r="G36" s="26" t="s">
        <v>175</v>
      </c>
      <c r="H36" s="26" t="s">
        <v>430</v>
      </c>
      <c r="I36" s="26" t="s">
        <v>431</v>
      </c>
      <c r="J36" s="26" t="s">
        <v>432</v>
      </c>
      <c r="K36" s="26" t="s">
        <v>225</v>
      </c>
      <c r="L36" s="26" t="s">
        <v>332</v>
      </c>
      <c r="M36" s="32" t="s">
        <v>268</v>
      </c>
      <c r="N36" s="26" t="s">
        <v>358</v>
      </c>
      <c r="O36" s="31">
        <v>41915</v>
      </c>
      <c r="P36" s="31">
        <v>41949</v>
      </c>
      <c r="Q36" s="37"/>
      <c r="R36" s="26"/>
      <c r="S36" s="26"/>
      <c r="T36" s="26"/>
      <c r="U36" s="26">
        <v>50</v>
      </c>
      <c r="V36" s="26">
        <v>28</v>
      </c>
      <c r="W36" s="26">
        <v>2</v>
      </c>
      <c r="X36" s="26">
        <v>1.8</v>
      </c>
      <c r="Y36" s="26">
        <v>1.8</v>
      </c>
      <c r="Z36" s="26">
        <v>1.8</v>
      </c>
      <c r="AA36" s="26" t="s">
        <v>299</v>
      </c>
      <c r="AB36" s="26"/>
      <c r="AC36" s="26">
        <v>5</v>
      </c>
      <c r="AD36" s="26">
        <v>10</v>
      </c>
      <c r="AE36" s="26"/>
      <c r="AF36" s="26" t="s">
        <v>273</v>
      </c>
      <c r="AG36" s="26">
        <v>2817</v>
      </c>
      <c r="AH36" s="26">
        <f t="shared" si="2"/>
        <v>1748</v>
      </c>
      <c r="AI36" s="33">
        <v>-0.61</v>
      </c>
      <c r="AJ36" s="33">
        <v>1.4</v>
      </c>
      <c r="AK36" s="26"/>
      <c r="AL36" s="26"/>
      <c r="AM36" s="26">
        <f>44598.25/12</f>
        <v>3716.5208333333335</v>
      </c>
      <c r="AN36" s="26">
        <f>(AM36*AI36)+AM36</f>
        <v>1449.4431250000002</v>
      </c>
      <c r="AO36" s="26">
        <f>AN36+AG36</f>
        <v>4266.4431249999998</v>
      </c>
      <c r="AP36" s="26">
        <f>AN36+AG36</f>
        <v>4266.4431249999998</v>
      </c>
      <c r="AQ36" s="26">
        <f>46615.26/12</f>
        <v>3884.605</v>
      </c>
      <c r="AR36" s="26">
        <f>(AQ36*AI36)+AQ36</f>
        <v>1514.99595</v>
      </c>
      <c r="AS36" s="26">
        <f>AR36+AG36</f>
        <v>4331.9959500000004</v>
      </c>
      <c r="AT36" s="26">
        <f>AR36+AG36</f>
        <v>4331.9959500000004</v>
      </c>
      <c r="AU36" s="26">
        <f>49155.67/12</f>
        <v>4096.3058333333329</v>
      </c>
      <c r="AV36" s="26">
        <f>(AU36*AI36)+AU36</f>
        <v>1597.5592750000001</v>
      </c>
      <c r="AW36" s="26">
        <f>AV36+AG36</f>
        <v>4414.5592749999996</v>
      </c>
      <c r="AX36" s="26">
        <f>AV36+AG36</f>
        <v>4414.5592749999996</v>
      </c>
      <c r="AY36" s="26">
        <v>15</v>
      </c>
      <c r="AZ36" s="26">
        <v>12</v>
      </c>
      <c r="BA36" s="26" t="s">
        <v>302</v>
      </c>
      <c r="BB36" s="26" t="s">
        <v>335</v>
      </c>
      <c r="BC36" s="26" t="s">
        <v>303</v>
      </c>
      <c r="BD36" s="3" t="s">
        <v>458</v>
      </c>
      <c r="BE36" s="26" t="s">
        <v>433</v>
      </c>
      <c r="BF36" s="26" t="s">
        <v>158</v>
      </c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  <c r="CS36" s="26"/>
      <c r="CT36" s="26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6"/>
      <c r="DG36" s="26"/>
      <c r="DH36" s="26"/>
      <c r="DI36" s="26"/>
      <c r="DJ36" s="26"/>
      <c r="DK36" s="26"/>
      <c r="DL36" s="26"/>
      <c r="DM36" s="26"/>
      <c r="DN36" s="26"/>
      <c r="DO36" s="26"/>
      <c r="DP36" s="26"/>
      <c r="DQ36" s="26"/>
      <c r="DR36" s="26"/>
      <c r="DS36" s="26"/>
      <c r="DT36" s="26"/>
      <c r="DU36" s="26"/>
      <c r="DV36" s="26"/>
      <c r="DW36" s="26"/>
      <c r="DX36" s="26"/>
      <c r="DY36" s="26"/>
      <c r="DZ36" s="26"/>
      <c r="EA36" s="26"/>
      <c r="EB36" s="26"/>
      <c r="EC36" s="26"/>
      <c r="ED36" s="26"/>
      <c r="EE36" s="26"/>
      <c r="EF36" s="26"/>
      <c r="EG36" s="26"/>
      <c r="EH36" s="26"/>
      <c r="EI36" s="26"/>
      <c r="EJ36" s="26"/>
      <c r="EK36" s="26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26"/>
      <c r="EY36" s="26"/>
      <c r="EZ36" s="26"/>
      <c r="FA36" s="26"/>
      <c r="FB36" s="26"/>
      <c r="FC36" s="26"/>
      <c r="FD36" s="26"/>
      <c r="FE36" s="26"/>
      <c r="FF36" s="26"/>
      <c r="FG36" s="26"/>
      <c r="FH36" s="26"/>
      <c r="FI36" s="26"/>
      <c r="FJ36" s="26"/>
      <c r="FK36" s="26"/>
      <c r="FL36" s="26"/>
    </row>
    <row r="37" spans="1:168" s="3" customFormat="1" x14ac:dyDescent="0.25">
      <c r="A37" s="54" t="s">
        <v>246</v>
      </c>
      <c r="B37" s="16">
        <v>20</v>
      </c>
      <c r="C37" s="11">
        <v>48</v>
      </c>
      <c r="D37" s="14">
        <v>36</v>
      </c>
      <c r="E37" s="14">
        <f t="shared" si="3"/>
        <v>34.666666666666664</v>
      </c>
      <c r="F37" s="23"/>
      <c r="G37" s="3" t="s">
        <v>247</v>
      </c>
      <c r="H37" s="3" t="s">
        <v>7</v>
      </c>
      <c r="I37" s="3" t="s">
        <v>366</v>
      </c>
      <c r="J37" s="3" t="s">
        <v>54</v>
      </c>
      <c r="K37" s="3" t="s">
        <v>225</v>
      </c>
      <c r="L37" s="3" t="s">
        <v>62</v>
      </c>
      <c r="M37" s="8">
        <v>2</v>
      </c>
      <c r="N37" s="3" t="s">
        <v>63</v>
      </c>
      <c r="O37" s="19">
        <v>41906</v>
      </c>
      <c r="P37" s="19">
        <v>41914</v>
      </c>
      <c r="Q37" s="3">
        <v>13</v>
      </c>
      <c r="R37" s="3">
        <v>0</v>
      </c>
      <c r="S37" s="3">
        <v>47</v>
      </c>
      <c r="U37" s="3">
        <v>40</v>
      </c>
      <c r="V37" s="3">
        <v>12</v>
      </c>
      <c r="W37" s="3">
        <v>2.5</v>
      </c>
      <c r="X37" s="3" t="s">
        <v>299</v>
      </c>
      <c r="Y37" s="3" t="s">
        <v>299</v>
      </c>
      <c r="Z37" s="3" t="s">
        <v>299</v>
      </c>
      <c r="AA37" s="3" t="s">
        <v>299</v>
      </c>
      <c r="AB37" s="3" t="s">
        <v>165</v>
      </c>
      <c r="AC37" s="3">
        <v>7</v>
      </c>
      <c r="AD37" s="3" t="s">
        <v>299</v>
      </c>
      <c r="AF37" s="3" t="s">
        <v>246</v>
      </c>
      <c r="AG37" s="3">
        <v>1719</v>
      </c>
      <c r="AH37" s="3">
        <f t="shared" si="2"/>
        <v>1748</v>
      </c>
      <c r="AI37" s="22">
        <v>-0.22</v>
      </c>
      <c r="AJ37" s="22">
        <v>0.35</v>
      </c>
      <c r="AM37" s="3">
        <f>43797/12</f>
        <v>3649.75</v>
      </c>
      <c r="AN37" s="3">
        <f>(AM37*AI37)+AM37</f>
        <v>2846.8049999999998</v>
      </c>
      <c r="AO37" s="3">
        <f>AN37+AG37</f>
        <v>4565.8050000000003</v>
      </c>
      <c r="AP37" s="3">
        <f>AN37+AG37</f>
        <v>4565.8050000000003</v>
      </c>
      <c r="AQ37" s="3">
        <f>46289/12</f>
        <v>3857.4166666666665</v>
      </c>
      <c r="AR37" s="3">
        <f>(AQ37*AI37)+AQ37</f>
        <v>3008.7849999999999</v>
      </c>
      <c r="AS37" s="3">
        <f>AR37+AG37</f>
        <v>4727.7849999999999</v>
      </c>
      <c r="AT37" s="3">
        <f>AR37+AG37</f>
        <v>4727.7849999999999</v>
      </c>
      <c r="AU37" s="3">
        <f>50491/12</f>
        <v>4207.583333333333</v>
      </c>
      <c r="AV37" s="3">
        <f>(AU37*AI37)+AU37</f>
        <v>3281.915</v>
      </c>
      <c r="AW37" s="3">
        <f>AV37+AG37</f>
        <v>5000.915</v>
      </c>
      <c r="AX37" s="3">
        <f>AV37+AG37</f>
        <v>5000.915</v>
      </c>
      <c r="AY37" s="3">
        <v>15</v>
      </c>
      <c r="AZ37" s="3">
        <v>12</v>
      </c>
      <c r="BA37" s="3" t="s">
        <v>290</v>
      </c>
      <c r="BB37" s="3" t="s">
        <v>335</v>
      </c>
      <c r="BC37" s="3" t="s">
        <v>243</v>
      </c>
    </row>
    <row r="38" spans="1:168" s="3" customFormat="1" x14ac:dyDescent="0.25">
      <c r="A38" s="54" t="s">
        <v>323</v>
      </c>
      <c r="B38" s="16">
        <v>21</v>
      </c>
      <c r="C38" s="11">
        <v>47</v>
      </c>
      <c r="D38" s="14">
        <v>37</v>
      </c>
      <c r="E38" s="14">
        <f t="shared" si="3"/>
        <v>35</v>
      </c>
      <c r="F38" s="20"/>
      <c r="G38" s="3" t="s">
        <v>347</v>
      </c>
      <c r="H38" s="3" t="s">
        <v>140</v>
      </c>
      <c r="K38" s="3" t="s">
        <v>225</v>
      </c>
      <c r="L38" s="3" t="s">
        <v>294</v>
      </c>
      <c r="M38" s="8">
        <v>3</v>
      </c>
      <c r="N38" s="3" t="s">
        <v>343</v>
      </c>
      <c r="O38" s="19">
        <v>41916</v>
      </c>
      <c r="P38" s="19">
        <v>41914</v>
      </c>
      <c r="Q38" s="3">
        <v>29</v>
      </c>
      <c r="R38" s="3">
        <v>9</v>
      </c>
      <c r="S38" s="3">
        <v>55</v>
      </c>
      <c r="U38" s="3">
        <v>53</v>
      </c>
      <c r="V38" s="3">
        <v>24</v>
      </c>
      <c r="W38" s="3">
        <v>1</v>
      </c>
      <c r="X38" s="3">
        <v>0.5</v>
      </c>
      <c r="Y38" s="3">
        <v>0.4</v>
      </c>
      <c r="Z38" s="3">
        <v>0.4</v>
      </c>
      <c r="AA38" s="3" t="s">
        <v>299</v>
      </c>
      <c r="AC38" s="3">
        <v>6</v>
      </c>
      <c r="AD38" s="3">
        <v>5</v>
      </c>
      <c r="AG38" s="3">
        <v>1692</v>
      </c>
      <c r="AH38" s="3">
        <f t="shared" si="2"/>
        <v>1748</v>
      </c>
      <c r="AK38" s="3">
        <v>56250</v>
      </c>
      <c r="AM38" s="3">
        <v>57250</v>
      </c>
      <c r="AQ38" s="3">
        <v>58250</v>
      </c>
      <c r="AU38" s="3" t="s">
        <v>299</v>
      </c>
      <c r="AY38" s="3">
        <v>15</v>
      </c>
      <c r="AZ38" s="3">
        <v>10</v>
      </c>
      <c r="BA38" s="3" t="s">
        <v>290</v>
      </c>
      <c r="BB38" s="3" t="s">
        <v>132</v>
      </c>
      <c r="BC38" s="3" t="s">
        <v>136</v>
      </c>
    </row>
    <row r="39" spans="1:168" s="3" customFormat="1" x14ac:dyDescent="0.25">
      <c r="A39" s="54" t="s">
        <v>124</v>
      </c>
      <c r="B39" s="16">
        <v>25</v>
      </c>
      <c r="C39" s="11">
        <v>46</v>
      </c>
      <c r="D39" s="14">
        <v>35</v>
      </c>
      <c r="E39" s="14">
        <f t="shared" si="3"/>
        <v>35.333333333333336</v>
      </c>
      <c r="F39" s="20"/>
      <c r="G39" s="3" t="s">
        <v>225</v>
      </c>
      <c r="H39" s="3" t="s">
        <v>283</v>
      </c>
      <c r="K39" s="3" t="s">
        <v>225</v>
      </c>
      <c r="M39" s="8"/>
      <c r="O39" s="14"/>
      <c r="P39" s="14"/>
      <c r="AH39" s="4"/>
      <c r="AI39" s="4"/>
      <c r="A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</row>
    <row r="40" spans="1:168" s="3" customFormat="1" x14ac:dyDescent="0.25">
      <c r="A40" s="54" t="s">
        <v>372</v>
      </c>
      <c r="B40" s="16">
        <v>22</v>
      </c>
      <c r="C40" s="11">
        <v>54</v>
      </c>
      <c r="D40" s="14">
        <v>39</v>
      </c>
      <c r="E40" s="14">
        <f t="shared" si="3"/>
        <v>38.333333333333336</v>
      </c>
      <c r="F40" s="20"/>
      <c r="G40" s="3" t="s">
        <v>354</v>
      </c>
      <c r="H40" s="3" t="s">
        <v>336</v>
      </c>
      <c r="I40" s="3" t="s">
        <v>41</v>
      </c>
      <c r="J40" s="3" t="s">
        <v>359</v>
      </c>
      <c r="K40" s="3" t="s">
        <v>225</v>
      </c>
      <c r="L40" s="3" t="s">
        <v>337</v>
      </c>
      <c r="M40" s="8">
        <v>3</v>
      </c>
      <c r="N40" s="3" t="s">
        <v>338</v>
      </c>
      <c r="O40" s="19">
        <v>41923</v>
      </c>
      <c r="P40" s="19">
        <v>41934</v>
      </c>
      <c r="Q40" s="3">
        <v>35</v>
      </c>
      <c r="R40" s="3">
        <v>16</v>
      </c>
      <c r="S40" s="3">
        <v>52</v>
      </c>
      <c r="U40" s="3">
        <v>55</v>
      </c>
      <c r="V40" s="3">
        <v>24</v>
      </c>
      <c r="W40" s="3">
        <v>1.5</v>
      </c>
      <c r="X40" s="3" t="s">
        <v>299</v>
      </c>
      <c r="Y40" s="3" t="s">
        <v>334</v>
      </c>
      <c r="Z40" s="3" t="s">
        <v>299</v>
      </c>
      <c r="AA40" s="3" t="s">
        <v>299</v>
      </c>
      <c r="AB40" s="3" t="s">
        <v>165</v>
      </c>
      <c r="AC40" s="3">
        <v>4</v>
      </c>
      <c r="AD40" s="3">
        <v>33</v>
      </c>
      <c r="AF40" s="3" t="s">
        <v>372</v>
      </c>
      <c r="AG40" s="3">
        <v>1251</v>
      </c>
      <c r="AH40" s="3">
        <f>(1648+150)-50</f>
        <v>1748</v>
      </c>
      <c r="AI40" s="22">
        <v>0.1</v>
      </c>
      <c r="AJ40" s="22">
        <v>-0.13</v>
      </c>
      <c r="AM40" s="3">
        <f>42336.72/12</f>
        <v>3528.06</v>
      </c>
      <c r="AN40" s="3">
        <f>(AM40*AI40)+AM40</f>
        <v>3880.866</v>
      </c>
      <c r="AO40" s="3">
        <f>AN40+AG40</f>
        <v>5131.866</v>
      </c>
      <c r="AP40" s="3">
        <f>AN40+AH40</f>
        <v>5628.866</v>
      </c>
      <c r="AQ40" s="3">
        <f>43379.92/12</f>
        <v>3614.9933333333333</v>
      </c>
      <c r="AR40" s="3">
        <f>(AQ40*AI40)+AQ40</f>
        <v>3976.4926666666665</v>
      </c>
      <c r="AS40" s="3">
        <f>AR40+AG40</f>
        <v>5227.492666666667</v>
      </c>
      <c r="AT40" s="3">
        <f>AR40+AH40</f>
        <v>5724.492666666667</v>
      </c>
      <c r="AU40" s="3">
        <f>44444.58/12</f>
        <v>3703.7150000000001</v>
      </c>
      <c r="AV40" s="3">
        <f>(AU40*AI40)+AU40</f>
        <v>4074.0865000000003</v>
      </c>
      <c r="AW40" s="3">
        <f>AV40+AG40</f>
        <v>5325.0865000000003</v>
      </c>
      <c r="AX40" s="3">
        <f>AV40+AH40</f>
        <v>5822.0865000000003</v>
      </c>
      <c r="AY40" s="3">
        <v>20</v>
      </c>
      <c r="AZ40" s="3">
        <v>10</v>
      </c>
      <c r="BA40" s="3" t="s">
        <v>72</v>
      </c>
      <c r="BB40" s="3" t="s">
        <v>339</v>
      </c>
      <c r="BC40" s="3" t="s">
        <v>73</v>
      </c>
      <c r="BE40" s="3" t="s">
        <v>441</v>
      </c>
    </row>
    <row r="41" spans="1:168" s="3" customFormat="1" x14ac:dyDescent="0.25">
      <c r="A41" s="54" t="s">
        <v>370</v>
      </c>
      <c r="B41" s="16">
        <v>35</v>
      </c>
      <c r="C41" s="11">
        <v>40</v>
      </c>
      <c r="D41" s="14">
        <v>45</v>
      </c>
      <c r="E41" s="14">
        <f t="shared" si="3"/>
        <v>40</v>
      </c>
      <c r="F41" s="23"/>
      <c r="G41" s="3" t="s">
        <v>352</v>
      </c>
      <c r="H41" s="3" t="s">
        <v>80</v>
      </c>
      <c r="I41" s="3" t="s">
        <v>37</v>
      </c>
      <c r="J41" s="3" t="s">
        <v>362</v>
      </c>
      <c r="K41" s="3" t="s">
        <v>225</v>
      </c>
      <c r="L41" s="3" t="s">
        <v>81</v>
      </c>
      <c r="M41" s="8">
        <v>3</v>
      </c>
      <c r="N41" s="3" t="s">
        <v>324</v>
      </c>
      <c r="O41" s="19">
        <v>41907</v>
      </c>
      <c r="P41" s="19">
        <v>41907</v>
      </c>
      <c r="Q41" s="3">
        <v>16</v>
      </c>
      <c r="R41" s="3">
        <v>0</v>
      </c>
      <c r="S41" s="3">
        <v>46</v>
      </c>
      <c r="U41" s="3">
        <v>40</v>
      </c>
      <c r="V41" s="3">
        <v>12</v>
      </c>
      <c r="W41" s="3">
        <v>2.5</v>
      </c>
      <c r="X41" s="3">
        <v>1</v>
      </c>
      <c r="Y41" s="3">
        <v>0.5</v>
      </c>
      <c r="Z41" s="3">
        <v>0.5</v>
      </c>
      <c r="AA41" s="3" t="s">
        <v>299</v>
      </c>
      <c r="AB41" s="3" t="s">
        <v>166</v>
      </c>
      <c r="AC41" s="3">
        <v>4</v>
      </c>
      <c r="AD41" s="3">
        <v>20</v>
      </c>
      <c r="AF41" s="3" t="s">
        <v>370</v>
      </c>
      <c r="AG41" s="3">
        <v>1176</v>
      </c>
      <c r="AH41" s="3">
        <f>(1648+150)-50</f>
        <v>1748</v>
      </c>
      <c r="AI41" s="22">
        <v>0.11</v>
      </c>
      <c r="AJ41" s="22">
        <v>-0.28999999999999998</v>
      </c>
      <c r="AM41" s="3">
        <f>44550.37/12</f>
        <v>3712.5308333333337</v>
      </c>
      <c r="AN41" s="3">
        <f>(AM41*AI41)+AM41</f>
        <v>4120.9092250000003</v>
      </c>
      <c r="AO41" s="3">
        <f>AN41+AG41</f>
        <v>5296.9092250000003</v>
      </c>
      <c r="AP41" s="3">
        <f>AN41+AH41</f>
        <v>5868.9092250000003</v>
      </c>
      <c r="AQ41" s="3">
        <f>45710.65/12</f>
        <v>3809.2208333333333</v>
      </c>
      <c r="AR41" s="3">
        <f>(AQ41*AI41)+AQ41</f>
        <v>4228.2351250000002</v>
      </c>
      <c r="AS41" s="3">
        <f>AR41+AG41</f>
        <v>5404.2351250000002</v>
      </c>
      <c r="AT41" s="3">
        <f>AR41+AH41</f>
        <v>5976.2351250000002</v>
      </c>
      <c r="AU41" s="3">
        <f>47024.73/12</f>
        <v>3918.7275000000004</v>
      </c>
      <c r="AV41" s="3">
        <f>(AU41*AI41)+AU41</f>
        <v>4349.7875250000006</v>
      </c>
      <c r="AW41" s="3">
        <f>AV41+AG41</f>
        <v>5525.7875250000006</v>
      </c>
      <c r="AX41" s="3">
        <f>AV41+AH41</f>
        <v>6097.7875250000006</v>
      </c>
      <c r="AY41" s="3" t="s">
        <v>327</v>
      </c>
      <c r="AZ41" s="3" t="s">
        <v>455</v>
      </c>
      <c r="BD41" s="3" t="s">
        <v>325</v>
      </c>
      <c r="BE41" s="3" t="s">
        <v>440</v>
      </c>
      <c r="BF41" s="3" t="s">
        <v>365</v>
      </c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</row>
    <row r="42" spans="1:168" s="3" customFormat="1" x14ac:dyDescent="0.25">
      <c r="A42" s="54" t="s">
        <v>272</v>
      </c>
      <c r="B42" s="27">
        <v>30</v>
      </c>
      <c r="C42" s="28">
        <v>50</v>
      </c>
      <c r="D42" s="29">
        <v>42</v>
      </c>
      <c r="E42" s="14">
        <f t="shared" si="3"/>
        <v>40.666666666666664</v>
      </c>
      <c r="F42" s="30"/>
      <c r="G42" s="26" t="s">
        <v>351</v>
      </c>
      <c r="H42" s="26" t="s">
        <v>74</v>
      </c>
      <c r="I42" s="26" t="s">
        <v>428</v>
      </c>
      <c r="J42" s="26"/>
      <c r="K42" s="26" t="s">
        <v>292</v>
      </c>
      <c r="L42" s="26" t="s">
        <v>75</v>
      </c>
      <c r="M42" s="32">
        <v>3</v>
      </c>
      <c r="N42" s="26"/>
      <c r="O42" s="31">
        <v>41936</v>
      </c>
      <c r="P42" s="31">
        <v>41920</v>
      </c>
      <c r="Q42" s="26">
        <v>57</v>
      </c>
      <c r="R42" s="26">
        <v>0</v>
      </c>
      <c r="S42" s="26">
        <v>71</v>
      </c>
      <c r="T42" s="26"/>
      <c r="U42" s="26">
        <v>45</v>
      </c>
      <c r="V42" s="26">
        <v>12</v>
      </c>
      <c r="W42" s="26">
        <v>2</v>
      </c>
      <c r="X42" s="26" t="s">
        <v>299</v>
      </c>
      <c r="Y42" s="26" t="s">
        <v>299</v>
      </c>
      <c r="Z42" s="26" t="s">
        <v>299</v>
      </c>
      <c r="AA42" s="26" t="s">
        <v>299</v>
      </c>
      <c r="AB42" s="26" t="s">
        <v>165</v>
      </c>
      <c r="AC42" s="26">
        <v>5</v>
      </c>
      <c r="AD42" s="26">
        <v>30</v>
      </c>
      <c r="AE42" s="26"/>
      <c r="AF42" s="26"/>
      <c r="AG42" s="26">
        <v>1977</v>
      </c>
      <c r="AH42" s="26">
        <f>(1648+150)-50</f>
        <v>1748</v>
      </c>
      <c r="AI42" s="33"/>
      <c r="AJ42" s="33"/>
      <c r="AK42" s="26">
        <v>49920</v>
      </c>
      <c r="AL42" s="26"/>
      <c r="AM42" s="26">
        <v>50960</v>
      </c>
      <c r="AN42" s="26"/>
      <c r="AO42" s="26"/>
      <c r="AP42" s="26"/>
      <c r="AQ42" s="26">
        <v>53040</v>
      </c>
      <c r="AR42" s="26"/>
      <c r="AS42" s="26"/>
      <c r="AT42" s="26"/>
      <c r="AU42" s="26" t="s">
        <v>299</v>
      </c>
      <c r="AV42" s="26"/>
      <c r="AW42" s="26"/>
      <c r="AX42" s="26"/>
      <c r="AY42" s="26">
        <v>15</v>
      </c>
      <c r="AZ42" s="26">
        <v>12</v>
      </c>
      <c r="BA42" s="26" t="s">
        <v>302</v>
      </c>
      <c r="BB42" s="26" t="s">
        <v>78</v>
      </c>
      <c r="BC42" s="26" t="s">
        <v>79</v>
      </c>
      <c r="BD42" s="26" t="s">
        <v>76</v>
      </c>
      <c r="BE42" s="26" t="s">
        <v>144</v>
      </c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</row>
    <row r="43" spans="1:168" s="3" customFormat="1" x14ac:dyDescent="0.25">
      <c r="A43" s="55" t="s">
        <v>127</v>
      </c>
      <c r="B43" s="17">
        <v>35</v>
      </c>
      <c r="C43" s="12">
        <v>37</v>
      </c>
      <c r="D43" s="15">
        <v>50</v>
      </c>
      <c r="E43" s="14">
        <f t="shared" si="3"/>
        <v>40.666666666666664</v>
      </c>
      <c r="F43" s="21"/>
      <c r="G43" s="4" t="s">
        <v>225</v>
      </c>
      <c r="H43" s="4" t="s">
        <v>328</v>
      </c>
      <c r="I43" s="4" t="s">
        <v>379</v>
      </c>
      <c r="J43" s="4"/>
      <c r="K43" s="4" t="s">
        <v>225</v>
      </c>
      <c r="L43" s="4" t="s">
        <v>62</v>
      </c>
      <c r="M43" s="10">
        <v>3</v>
      </c>
      <c r="N43" s="4" t="s">
        <v>357</v>
      </c>
      <c r="O43" s="14" t="s">
        <v>14</v>
      </c>
      <c r="P43" s="19">
        <v>41909</v>
      </c>
      <c r="Q43" s="4">
        <v>41</v>
      </c>
      <c r="R43" s="4">
        <v>5</v>
      </c>
      <c r="S43" s="4">
        <v>25</v>
      </c>
      <c r="T43" s="4"/>
      <c r="U43" s="4">
        <v>50</v>
      </c>
      <c r="V43" s="4">
        <v>30</v>
      </c>
      <c r="W43" s="4">
        <v>1</v>
      </c>
      <c r="X43" s="4">
        <v>1</v>
      </c>
      <c r="Y43" s="4">
        <v>0.5</v>
      </c>
      <c r="Z43" s="4" t="s">
        <v>299</v>
      </c>
      <c r="AA43" s="4" t="s">
        <v>299</v>
      </c>
      <c r="AB43" s="4"/>
      <c r="AC43" s="4">
        <v>8</v>
      </c>
      <c r="AD43" s="4">
        <v>25</v>
      </c>
      <c r="AE43" s="4"/>
      <c r="AF43" s="4"/>
      <c r="AG43" s="4"/>
      <c r="AH43" s="4">
        <f>(1648+150)-50</f>
        <v>1748</v>
      </c>
      <c r="AI43" s="4"/>
      <c r="AJ43" s="4"/>
      <c r="AK43" s="36">
        <v>49498</v>
      </c>
      <c r="AL43" s="36"/>
      <c r="AM43" s="36">
        <v>51856</v>
      </c>
      <c r="AN43" s="36"/>
      <c r="AO43" s="36"/>
      <c r="AP43" s="36"/>
      <c r="AQ43" s="36">
        <v>53827</v>
      </c>
      <c r="AR43" s="36"/>
      <c r="AS43" s="36"/>
      <c r="AT43" s="36"/>
      <c r="AU43" s="4" t="s">
        <v>299</v>
      </c>
      <c r="AV43" s="4"/>
      <c r="AW43" s="4"/>
      <c r="AX43" s="4"/>
      <c r="AY43" s="36">
        <v>15</v>
      </c>
      <c r="AZ43" s="36">
        <v>10</v>
      </c>
      <c r="BA43" s="4" t="s">
        <v>302</v>
      </c>
      <c r="BB43" s="4" t="s">
        <v>335</v>
      </c>
      <c r="BC43" s="4" t="s">
        <v>73</v>
      </c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</row>
    <row r="44" spans="1:168" s="3" customFormat="1" x14ac:dyDescent="0.25">
      <c r="A44" s="56" t="s">
        <v>275</v>
      </c>
      <c r="B44" s="15">
        <v>35</v>
      </c>
      <c r="C44" s="13">
        <v>42</v>
      </c>
      <c r="D44" s="15">
        <v>46</v>
      </c>
      <c r="E44" s="14">
        <f t="shared" si="3"/>
        <v>41</v>
      </c>
      <c r="F44" s="21"/>
      <c r="G44" s="9" t="s">
        <v>223</v>
      </c>
      <c r="H44" s="9" t="s">
        <v>274</v>
      </c>
      <c r="I44" s="9"/>
      <c r="J44" s="9"/>
      <c r="K44" s="9" t="s">
        <v>225</v>
      </c>
      <c r="L44" s="9" t="s">
        <v>70</v>
      </c>
      <c r="M44" s="10">
        <v>3</v>
      </c>
      <c r="N44" s="10"/>
      <c r="O44" s="18">
        <v>41942</v>
      </c>
      <c r="P44" s="18">
        <v>41925</v>
      </c>
      <c r="Q44" s="10">
        <v>35</v>
      </c>
      <c r="R44" s="10">
        <v>12</v>
      </c>
      <c r="S44" s="10">
        <v>43</v>
      </c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3">
        <v>2184</v>
      </c>
      <c r="AH44" s="4">
        <v>1748</v>
      </c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</row>
    <row r="45" spans="1:168" s="3" customFormat="1" x14ac:dyDescent="0.25">
      <c r="A45" s="55" t="s">
        <v>406</v>
      </c>
      <c r="B45" s="17"/>
      <c r="C45" s="12">
        <v>41</v>
      </c>
      <c r="D45" s="15">
        <v>44</v>
      </c>
      <c r="E45" s="14">
        <f>(C45+D45)/2</f>
        <v>42.5</v>
      </c>
      <c r="F45" s="21"/>
      <c r="G45" s="4" t="s">
        <v>403</v>
      </c>
      <c r="H45" s="4" t="s">
        <v>3</v>
      </c>
      <c r="I45" s="4"/>
      <c r="J45" s="4"/>
      <c r="K45" s="4" t="s">
        <v>292</v>
      </c>
      <c r="L45" s="4" t="s">
        <v>62</v>
      </c>
      <c r="M45" s="10">
        <v>3</v>
      </c>
      <c r="N45" s="4" t="s">
        <v>248</v>
      </c>
      <c r="O45" s="18">
        <v>41901</v>
      </c>
      <c r="P45" s="18">
        <v>41917</v>
      </c>
      <c r="Q45" s="4">
        <v>25</v>
      </c>
      <c r="R45" s="4">
        <v>65</v>
      </c>
      <c r="S45" s="4">
        <v>43</v>
      </c>
      <c r="T45" s="4"/>
      <c r="U45" s="4">
        <v>50</v>
      </c>
      <c r="V45" s="4">
        <v>16</v>
      </c>
      <c r="W45" s="4">
        <v>1.5</v>
      </c>
      <c r="X45" s="4" t="s">
        <v>299</v>
      </c>
      <c r="Y45" s="4" t="s">
        <v>299</v>
      </c>
      <c r="Z45" s="4" t="s">
        <v>299</v>
      </c>
      <c r="AA45" s="4" t="s">
        <v>299</v>
      </c>
      <c r="AB45" s="4"/>
      <c r="AC45" s="4">
        <v>4</v>
      </c>
      <c r="AD45" s="4">
        <v>25</v>
      </c>
      <c r="AE45" s="4"/>
      <c r="AF45" s="4"/>
      <c r="AG45" s="4"/>
      <c r="AH45" s="4">
        <f t="shared" ref="AH45:AH54" si="4">(1648+150)-50</f>
        <v>1748</v>
      </c>
      <c r="AI45" s="4"/>
      <c r="AJ45" s="4"/>
      <c r="AK45" s="4">
        <v>66000</v>
      </c>
      <c r="AL45" s="4"/>
      <c r="AM45" s="4">
        <v>68000</v>
      </c>
      <c r="AN45" s="4"/>
      <c r="AO45" s="4"/>
      <c r="AP45" s="4"/>
      <c r="AQ45" s="4">
        <v>69500</v>
      </c>
      <c r="AR45" s="4"/>
      <c r="AS45" s="4"/>
      <c r="AT45" s="4"/>
      <c r="AU45" s="4" t="s">
        <v>299</v>
      </c>
      <c r="AV45" s="4"/>
      <c r="AW45" s="4"/>
      <c r="AX45" s="4"/>
      <c r="AY45" s="4">
        <v>20</v>
      </c>
      <c r="AZ45" s="4" t="s">
        <v>326</v>
      </c>
      <c r="BA45" s="4" t="s">
        <v>289</v>
      </c>
      <c r="BB45" s="4" t="s">
        <v>132</v>
      </c>
      <c r="BC45" s="4" t="s">
        <v>243</v>
      </c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</row>
    <row r="46" spans="1:168" s="3" customFormat="1" x14ac:dyDescent="0.25">
      <c r="A46" s="54" t="s">
        <v>367</v>
      </c>
      <c r="B46" s="16">
        <v>23</v>
      </c>
      <c r="C46" s="11">
        <v>44</v>
      </c>
      <c r="D46" s="14">
        <v>61</v>
      </c>
      <c r="E46" s="14">
        <f t="shared" ref="E46:E59" si="5">AVERAGE(B46:D46)</f>
        <v>42.666666666666664</v>
      </c>
      <c r="F46" s="20"/>
      <c r="G46" s="3" t="s">
        <v>351</v>
      </c>
      <c r="H46" s="3" t="s">
        <v>107</v>
      </c>
      <c r="I46" s="3" t="s">
        <v>417</v>
      </c>
      <c r="K46" s="3" t="s">
        <v>225</v>
      </c>
      <c r="L46" s="3" t="s">
        <v>70</v>
      </c>
      <c r="M46" s="8">
        <v>3</v>
      </c>
      <c r="N46" s="3" t="s">
        <v>71</v>
      </c>
      <c r="O46" s="19">
        <v>41930</v>
      </c>
      <c r="P46" s="19">
        <v>41927</v>
      </c>
      <c r="Q46" s="3">
        <v>25</v>
      </c>
      <c r="R46" s="3">
        <v>39</v>
      </c>
      <c r="S46" s="3">
        <v>75</v>
      </c>
      <c r="U46" s="3">
        <v>60</v>
      </c>
      <c r="V46" s="3">
        <v>24</v>
      </c>
      <c r="W46" s="3">
        <v>2</v>
      </c>
      <c r="X46" s="3">
        <v>1</v>
      </c>
      <c r="Y46" s="3">
        <v>0.4</v>
      </c>
      <c r="Z46" s="3">
        <v>0.4</v>
      </c>
      <c r="AA46" s="3" t="s">
        <v>299</v>
      </c>
      <c r="AB46" s="3" t="s">
        <v>166</v>
      </c>
      <c r="AC46" s="3">
        <v>4</v>
      </c>
      <c r="AD46" s="3">
        <v>10</v>
      </c>
      <c r="AG46" s="3">
        <v>1977</v>
      </c>
      <c r="AH46" s="3">
        <f t="shared" si="4"/>
        <v>1748</v>
      </c>
      <c r="AK46" s="3">
        <v>49537</v>
      </c>
      <c r="AM46" s="3">
        <v>51691</v>
      </c>
      <c r="AQ46" s="3">
        <v>53845</v>
      </c>
      <c r="AU46" s="3" t="s">
        <v>299</v>
      </c>
      <c r="AY46" s="3">
        <v>15</v>
      </c>
      <c r="AZ46" s="3">
        <v>5</v>
      </c>
      <c r="BA46" s="3" t="s">
        <v>72</v>
      </c>
      <c r="BB46" s="3" t="s">
        <v>73</v>
      </c>
      <c r="BC46" s="3" t="s">
        <v>73</v>
      </c>
    </row>
    <row r="47" spans="1:168" s="3" customFormat="1" x14ac:dyDescent="0.25">
      <c r="A47" s="54" t="s">
        <v>263</v>
      </c>
      <c r="B47" s="16">
        <v>35</v>
      </c>
      <c r="C47" s="11">
        <v>52</v>
      </c>
      <c r="D47" s="14">
        <v>48</v>
      </c>
      <c r="E47" s="14">
        <f t="shared" si="5"/>
        <v>45</v>
      </c>
      <c r="F47" s="20"/>
      <c r="G47" s="3" t="s">
        <v>262</v>
      </c>
      <c r="H47" s="3" t="s">
        <v>171</v>
      </c>
      <c r="I47" s="3" t="s">
        <v>399</v>
      </c>
      <c r="K47" s="3" t="s">
        <v>225</v>
      </c>
      <c r="L47" s="3" t="s">
        <v>337</v>
      </c>
      <c r="M47" s="8">
        <v>3</v>
      </c>
      <c r="N47" s="3" t="s">
        <v>172</v>
      </c>
      <c r="O47" s="19">
        <v>41930</v>
      </c>
      <c r="P47" s="19">
        <v>41949</v>
      </c>
      <c r="Q47" s="3">
        <v>41</v>
      </c>
      <c r="R47" s="3">
        <v>0</v>
      </c>
      <c r="S47" s="3">
        <v>77</v>
      </c>
      <c r="U47" s="3">
        <v>45</v>
      </c>
      <c r="V47" s="3">
        <v>9</v>
      </c>
      <c r="W47" s="3">
        <v>2</v>
      </c>
      <c r="X47" s="3" t="s">
        <v>299</v>
      </c>
      <c r="Y47" s="3" t="s">
        <v>299</v>
      </c>
      <c r="Z47" s="3" t="s">
        <v>299</v>
      </c>
      <c r="AA47" s="3" t="s">
        <v>299</v>
      </c>
      <c r="AC47" s="3">
        <v>6</v>
      </c>
      <c r="AD47" s="3">
        <v>25</v>
      </c>
      <c r="AG47" s="3">
        <v>1083</v>
      </c>
      <c r="AH47" s="3">
        <f t="shared" si="4"/>
        <v>1748</v>
      </c>
      <c r="AK47" s="3">
        <v>50114</v>
      </c>
      <c r="AM47" s="3">
        <v>51825</v>
      </c>
      <c r="AQ47" s="3">
        <v>53167</v>
      </c>
      <c r="AU47" s="3" t="s">
        <v>299</v>
      </c>
      <c r="AY47" s="3">
        <v>20</v>
      </c>
      <c r="AZ47" s="3">
        <v>15</v>
      </c>
      <c r="BA47" s="3" t="s">
        <v>290</v>
      </c>
      <c r="BB47" s="3" t="s">
        <v>132</v>
      </c>
      <c r="BC47" s="3" t="s">
        <v>243</v>
      </c>
      <c r="BD47" s="3" t="s">
        <v>173</v>
      </c>
    </row>
    <row r="48" spans="1:168" s="3" customFormat="1" x14ac:dyDescent="0.25">
      <c r="A48" s="55" t="s">
        <v>151</v>
      </c>
      <c r="B48" s="17">
        <v>35</v>
      </c>
      <c r="C48" s="12">
        <v>33</v>
      </c>
      <c r="D48" s="15">
        <v>71</v>
      </c>
      <c r="E48" s="14">
        <f t="shared" si="5"/>
        <v>46.333333333333336</v>
      </c>
      <c r="F48" s="21"/>
      <c r="G48" s="4" t="s">
        <v>176</v>
      </c>
      <c r="H48" s="4" t="s">
        <v>346</v>
      </c>
      <c r="I48" s="4"/>
      <c r="J48" s="4"/>
      <c r="K48" s="4" t="s">
        <v>225</v>
      </c>
      <c r="L48" s="4" t="s">
        <v>332</v>
      </c>
      <c r="M48" s="10">
        <v>3</v>
      </c>
      <c r="N48" s="4" t="s">
        <v>115</v>
      </c>
      <c r="O48" s="15"/>
      <c r="P48" s="18">
        <v>41949</v>
      </c>
      <c r="Q48" s="4">
        <v>100</v>
      </c>
      <c r="R48" s="4">
        <v>0</v>
      </c>
      <c r="S48" s="4">
        <v>56</v>
      </c>
      <c r="T48" s="4"/>
      <c r="U48" s="4">
        <v>55</v>
      </c>
      <c r="V48" s="4">
        <v>16</v>
      </c>
      <c r="W48" s="4">
        <v>1.8</v>
      </c>
      <c r="X48" s="4" t="s">
        <v>299</v>
      </c>
      <c r="Y48" s="4" t="s">
        <v>299</v>
      </c>
      <c r="Z48" s="4" t="s">
        <v>299</v>
      </c>
      <c r="AA48" s="4" t="s">
        <v>299</v>
      </c>
      <c r="AB48" s="4"/>
      <c r="AC48" s="4">
        <v>6</v>
      </c>
      <c r="AD48" s="4">
        <v>40</v>
      </c>
      <c r="AE48" s="4"/>
      <c r="AF48" s="4"/>
      <c r="AG48" s="3">
        <v>1281</v>
      </c>
      <c r="AH48" s="4">
        <f t="shared" si="4"/>
        <v>1748</v>
      </c>
      <c r="AI48" s="4"/>
      <c r="AJ48" s="4"/>
      <c r="AK48" s="4">
        <v>48500</v>
      </c>
      <c r="AL48" s="4"/>
      <c r="AM48" s="4">
        <v>49500</v>
      </c>
      <c r="AN48" s="4"/>
      <c r="AO48" s="4"/>
      <c r="AP48" s="4"/>
      <c r="AQ48" s="4">
        <v>51500</v>
      </c>
      <c r="AR48" s="4"/>
      <c r="AS48" s="4"/>
      <c r="AT48" s="4"/>
      <c r="AU48" s="4" t="s">
        <v>299</v>
      </c>
      <c r="AV48" s="4"/>
      <c r="AW48" s="4"/>
      <c r="AX48" s="4"/>
      <c r="AY48" s="4">
        <v>15</v>
      </c>
      <c r="AZ48" s="4" t="s">
        <v>299</v>
      </c>
      <c r="BA48" s="4" t="s">
        <v>72</v>
      </c>
      <c r="BB48" s="4" t="s">
        <v>73</v>
      </c>
      <c r="BC48" s="4" t="s">
        <v>72</v>
      </c>
      <c r="BD48" s="4" t="s">
        <v>116</v>
      </c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</row>
    <row r="49" spans="1:168" s="3" customFormat="1" x14ac:dyDescent="0.25">
      <c r="A49" s="55" t="s">
        <v>320</v>
      </c>
      <c r="B49" s="17">
        <v>18</v>
      </c>
      <c r="C49" s="12">
        <v>72</v>
      </c>
      <c r="D49" s="15">
        <v>52</v>
      </c>
      <c r="E49" s="14">
        <f t="shared" si="5"/>
        <v>47.333333333333336</v>
      </c>
      <c r="F49" s="21"/>
      <c r="G49" s="4" t="s">
        <v>319</v>
      </c>
      <c r="H49" s="4" t="s">
        <v>119</v>
      </c>
      <c r="I49" s="4" t="s">
        <v>178</v>
      </c>
      <c r="J49" s="4"/>
      <c r="K49" s="4" t="s">
        <v>225</v>
      </c>
      <c r="L49" s="4" t="s">
        <v>120</v>
      </c>
      <c r="M49" s="10">
        <v>3</v>
      </c>
      <c r="N49" s="4" t="s">
        <v>228</v>
      </c>
      <c r="O49" s="14" t="s">
        <v>17</v>
      </c>
      <c r="P49" s="19">
        <v>41901</v>
      </c>
      <c r="Q49" s="4">
        <v>9</v>
      </c>
      <c r="R49" s="4">
        <v>0</v>
      </c>
      <c r="S49" s="4">
        <v>59</v>
      </c>
      <c r="T49" s="4"/>
      <c r="U49" s="4">
        <v>62</v>
      </c>
      <c r="V49" s="4">
        <v>16</v>
      </c>
      <c r="W49" s="4">
        <v>1</v>
      </c>
      <c r="X49" s="4" t="s">
        <v>299</v>
      </c>
      <c r="Y49" s="4" t="s">
        <v>299</v>
      </c>
      <c r="Z49" s="4" t="s">
        <v>299</v>
      </c>
      <c r="AA49" s="4" t="s">
        <v>299</v>
      </c>
      <c r="AB49" s="4"/>
      <c r="AC49" s="4">
        <v>5</v>
      </c>
      <c r="AD49" s="4">
        <v>20</v>
      </c>
      <c r="AE49" s="4"/>
      <c r="AF49" s="4"/>
      <c r="AG49" s="3">
        <v>1530</v>
      </c>
      <c r="AH49" s="4">
        <f t="shared" si="4"/>
        <v>1748</v>
      </c>
      <c r="AI49" s="4"/>
      <c r="AJ49" s="4"/>
      <c r="AK49" s="4">
        <v>50500</v>
      </c>
      <c r="AL49" s="4"/>
      <c r="AM49" s="4">
        <v>51500</v>
      </c>
      <c r="AN49" s="4"/>
      <c r="AO49" s="4"/>
      <c r="AP49" s="4"/>
      <c r="AQ49" s="4">
        <v>53700</v>
      </c>
      <c r="AR49" s="4"/>
      <c r="AS49" s="4"/>
      <c r="AT49" s="4"/>
      <c r="AU49" s="4">
        <v>57450</v>
      </c>
      <c r="AV49" s="4"/>
      <c r="AW49" s="4"/>
      <c r="AX49" s="4"/>
      <c r="AY49" s="4">
        <v>15</v>
      </c>
      <c r="AZ49" s="4">
        <v>14</v>
      </c>
      <c r="BA49" s="4" t="s">
        <v>290</v>
      </c>
      <c r="BB49" s="4" t="s">
        <v>252</v>
      </c>
      <c r="BC49" s="4" t="s">
        <v>136</v>
      </c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</row>
    <row r="50" spans="1:168" s="3" customFormat="1" x14ac:dyDescent="0.25">
      <c r="A50" s="55" t="s">
        <v>22</v>
      </c>
      <c r="B50" s="17">
        <v>35</v>
      </c>
      <c r="C50" s="12">
        <v>38</v>
      </c>
      <c r="D50" s="15">
        <v>71</v>
      </c>
      <c r="E50" s="14">
        <f t="shared" si="5"/>
        <v>48</v>
      </c>
      <c r="F50" s="21"/>
      <c r="G50" s="4" t="s">
        <v>349</v>
      </c>
      <c r="H50" s="4" t="s">
        <v>24</v>
      </c>
      <c r="I50" s="4" t="s">
        <v>396</v>
      </c>
      <c r="J50" s="4" t="s">
        <v>180</v>
      </c>
      <c r="K50" s="4" t="s">
        <v>225</v>
      </c>
      <c r="L50" s="4" t="s">
        <v>62</v>
      </c>
      <c r="M50" s="10">
        <v>3</v>
      </c>
      <c r="N50" s="4" t="s">
        <v>63</v>
      </c>
      <c r="O50" s="18">
        <v>41919</v>
      </c>
      <c r="P50" s="18">
        <v>41903</v>
      </c>
      <c r="Q50" s="4">
        <v>22</v>
      </c>
      <c r="R50" s="4">
        <v>0</v>
      </c>
      <c r="S50" s="4">
        <v>52</v>
      </c>
      <c r="T50" s="4"/>
      <c r="U50" s="4">
        <v>65</v>
      </c>
      <c r="V50" s="4">
        <v>24</v>
      </c>
      <c r="W50" s="4">
        <v>1.5</v>
      </c>
      <c r="X50" s="4">
        <v>2</v>
      </c>
      <c r="Y50" s="4">
        <v>1</v>
      </c>
      <c r="Z50" s="4">
        <v>0</v>
      </c>
      <c r="AA50" s="4" t="s">
        <v>299</v>
      </c>
      <c r="AB50" s="4"/>
      <c r="AC50" s="4">
        <v>6</v>
      </c>
      <c r="AD50" s="35">
        <v>0.1</v>
      </c>
      <c r="AE50" s="35"/>
      <c r="AF50" s="4"/>
      <c r="AG50" s="3">
        <v>1281</v>
      </c>
      <c r="AH50" s="4">
        <f t="shared" si="4"/>
        <v>1748</v>
      </c>
      <c r="AI50" s="4"/>
      <c r="AJ50" s="4"/>
      <c r="AK50" s="4">
        <v>50161</v>
      </c>
      <c r="AL50" s="4"/>
      <c r="AM50" s="4">
        <v>52154</v>
      </c>
      <c r="AN50" s="4"/>
      <c r="AO50" s="4"/>
      <c r="AP50" s="4"/>
      <c r="AQ50" s="4">
        <v>54590</v>
      </c>
      <c r="AR50" s="4"/>
      <c r="AS50" s="4"/>
      <c r="AT50" s="4"/>
      <c r="AU50" s="4" t="s">
        <v>299</v>
      </c>
      <c r="AV50" s="4"/>
      <c r="AW50" s="4"/>
      <c r="AX50" s="4"/>
      <c r="AY50" s="4">
        <v>15</v>
      </c>
      <c r="AZ50" s="4">
        <v>15</v>
      </c>
      <c r="BA50" s="4" t="s">
        <v>72</v>
      </c>
      <c r="BB50" s="4" t="s">
        <v>335</v>
      </c>
      <c r="BC50" s="4" t="s">
        <v>73</v>
      </c>
      <c r="BD50" s="4"/>
      <c r="BE50" s="4" t="s">
        <v>88</v>
      </c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</row>
    <row r="51" spans="1:168" s="3" customFormat="1" x14ac:dyDescent="0.25">
      <c r="A51" s="55" t="s">
        <v>153</v>
      </c>
      <c r="B51" s="17">
        <v>35</v>
      </c>
      <c r="C51" s="12">
        <v>51</v>
      </c>
      <c r="D51" s="15">
        <v>65</v>
      </c>
      <c r="E51" s="14">
        <f t="shared" si="5"/>
        <v>50.333333333333336</v>
      </c>
      <c r="F51" s="21"/>
      <c r="G51" s="4" t="s">
        <v>59</v>
      </c>
      <c r="H51" s="4" t="s">
        <v>133</v>
      </c>
      <c r="I51" s="4" t="s">
        <v>270</v>
      </c>
      <c r="J51" s="4"/>
      <c r="K51" s="4" t="s">
        <v>225</v>
      </c>
      <c r="L51" s="4" t="s">
        <v>134</v>
      </c>
      <c r="M51" s="10">
        <v>3</v>
      </c>
      <c r="N51" s="4" t="s">
        <v>135</v>
      </c>
      <c r="O51" s="18">
        <v>41920</v>
      </c>
      <c r="P51" s="18">
        <v>41921</v>
      </c>
      <c r="Q51" s="4">
        <v>11</v>
      </c>
      <c r="R51" s="4">
        <v>66</v>
      </c>
      <c r="S51" s="4">
        <v>48</v>
      </c>
      <c r="T51" s="4"/>
      <c r="U51" s="4">
        <v>60</v>
      </c>
      <c r="V51" s="4">
        <v>16</v>
      </c>
      <c r="W51" s="4">
        <v>1</v>
      </c>
      <c r="X51" s="4" t="s">
        <v>299</v>
      </c>
      <c r="Y51" s="4" t="s">
        <v>299</v>
      </c>
      <c r="Z51" s="4" t="s">
        <v>299</v>
      </c>
      <c r="AA51" s="4" t="s">
        <v>299</v>
      </c>
      <c r="AB51" s="4"/>
      <c r="AC51" s="4">
        <v>5</v>
      </c>
      <c r="AD51" s="4" t="s">
        <v>299</v>
      </c>
      <c r="AE51" s="4"/>
      <c r="AF51" s="4"/>
      <c r="AG51" s="4"/>
      <c r="AH51" s="4">
        <f t="shared" si="4"/>
        <v>1748</v>
      </c>
      <c r="AI51" s="4"/>
      <c r="AJ51" s="4"/>
      <c r="AK51" s="4" t="s">
        <v>299</v>
      </c>
      <c r="AL51" s="4"/>
      <c r="AM51" s="4" t="s">
        <v>299</v>
      </c>
      <c r="AN51" s="4"/>
      <c r="AO51" s="4"/>
      <c r="AP51" s="4"/>
      <c r="AQ51" s="4" t="s">
        <v>299</v>
      </c>
      <c r="AR51" s="4"/>
      <c r="AS51" s="4"/>
      <c r="AT51" s="4"/>
      <c r="AU51" s="4" t="s">
        <v>299</v>
      </c>
      <c r="AV51" s="4"/>
      <c r="AW51" s="4"/>
      <c r="AX51" s="4"/>
      <c r="AY51" s="4">
        <v>15</v>
      </c>
      <c r="AZ51" s="4">
        <v>15</v>
      </c>
      <c r="BA51" s="4" t="s">
        <v>290</v>
      </c>
      <c r="BB51" s="4" t="s">
        <v>132</v>
      </c>
      <c r="BC51" s="4" t="s">
        <v>136</v>
      </c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</row>
    <row r="52" spans="1:168" s="3" customFormat="1" x14ac:dyDescent="0.25">
      <c r="A52" s="54" t="s">
        <v>348</v>
      </c>
      <c r="B52" s="16">
        <v>27</v>
      </c>
      <c r="C52" s="11">
        <v>60</v>
      </c>
      <c r="D52" s="14">
        <v>67</v>
      </c>
      <c r="E52" s="14">
        <f t="shared" si="5"/>
        <v>51.333333333333336</v>
      </c>
      <c r="F52" s="23"/>
      <c r="G52" s="3" t="s">
        <v>347</v>
      </c>
      <c r="H52" s="3" t="s">
        <v>141</v>
      </c>
      <c r="I52" s="3" t="s">
        <v>42</v>
      </c>
      <c r="J52" s="3" t="s">
        <v>359</v>
      </c>
      <c r="K52" s="3" t="s">
        <v>225</v>
      </c>
      <c r="L52" s="3" t="s">
        <v>332</v>
      </c>
      <c r="M52" s="8">
        <v>4</v>
      </c>
      <c r="N52" s="3" t="s">
        <v>211</v>
      </c>
      <c r="O52" s="19">
        <v>41916</v>
      </c>
      <c r="P52" s="19">
        <v>41921</v>
      </c>
      <c r="Q52" s="3">
        <v>62</v>
      </c>
      <c r="R52" s="3">
        <v>0</v>
      </c>
      <c r="S52" s="3">
        <v>62</v>
      </c>
      <c r="U52" s="3">
        <v>50</v>
      </c>
      <c r="V52" s="3">
        <v>14</v>
      </c>
      <c r="W52" s="3">
        <v>1</v>
      </c>
      <c r="X52" s="3" t="s">
        <v>299</v>
      </c>
      <c r="Y52" s="3" t="s">
        <v>299</v>
      </c>
      <c r="Z52" s="3" t="s">
        <v>299</v>
      </c>
      <c r="AA52" s="3" t="s">
        <v>299</v>
      </c>
      <c r="AB52" s="3" t="s">
        <v>166</v>
      </c>
      <c r="AC52" s="3" t="s">
        <v>299</v>
      </c>
      <c r="AD52" s="3" t="s">
        <v>299</v>
      </c>
      <c r="AF52" s="3" t="s">
        <v>348</v>
      </c>
      <c r="AG52" s="3">
        <v>1587</v>
      </c>
      <c r="AH52" s="3">
        <f t="shared" si="4"/>
        <v>1748</v>
      </c>
      <c r="AI52" s="22">
        <v>-0.16</v>
      </c>
      <c r="AJ52" s="22">
        <v>0.28000000000000003</v>
      </c>
      <c r="AM52" s="3">
        <f>45776.93/12</f>
        <v>3814.7441666666668</v>
      </c>
      <c r="AN52" s="3">
        <f>(AM52*AI52)+AM52</f>
        <v>3204.3851</v>
      </c>
      <c r="AO52" s="3">
        <f>AN52+AG52</f>
        <v>4791.3850999999995</v>
      </c>
      <c r="AP52" s="3">
        <f>AN52+AH52</f>
        <v>4952.3850999999995</v>
      </c>
      <c r="AQ52" s="3">
        <f>47264.92/12</f>
        <v>3938.7433333333333</v>
      </c>
      <c r="AR52" s="3">
        <f>(AQ52*AI52)+AQ52</f>
        <v>3308.5443999999998</v>
      </c>
      <c r="AS52" s="3">
        <f>AR52+AG52</f>
        <v>4895.5443999999998</v>
      </c>
      <c r="AT52" s="3">
        <f>AR52+AH52</f>
        <v>5056.5443999999998</v>
      </c>
      <c r="AU52" s="3">
        <f>48806.21/12</f>
        <v>4067.1841666666664</v>
      </c>
      <c r="AV52" s="3">
        <f>(AU52*AI52)+AU52</f>
        <v>3416.4346999999998</v>
      </c>
      <c r="AW52" s="3">
        <f>AV52+AG52</f>
        <v>5003.4346999999998</v>
      </c>
      <c r="AX52" s="3">
        <f>AV52+AH52</f>
        <v>5164.4346999999998</v>
      </c>
      <c r="AY52" s="3">
        <v>15</v>
      </c>
      <c r="AZ52" s="3" t="s">
        <v>455</v>
      </c>
      <c r="BA52" s="3" t="s">
        <v>289</v>
      </c>
      <c r="BB52" s="3" t="s">
        <v>132</v>
      </c>
      <c r="BC52" s="3" t="s">
        <v>136</v>
      </c>
      <c r="BD52" s="3" t="s">
        <v>142</v>
      </c>
      <c r="BE52" s="3" t="s">
        <v>438</v>
      </c>
    </row>
    <row r="53" spans="1:168" s="4" customFormat="1" x14ac:dyDescent="0.25">
      <c r="A53" s="54" t="s">
        <v>371</v>
      </c>
      <c r="B53" s="27">
        <v>35</v>
      </c>
      <c r="C53" s="28">
        <v>64</v>
      </c>
      <c r="D53" s="29">
        <v>55</v>
      </c>
      <c r="E53" s="14">
        <f t="shared" si="5"/>
        <v>51.333333333333336</v>
      </c>
      <c r="F53" s="34"/>
      <c r="G53" s="26" t="s">
        <v>353</v>
      </c>
      <c r="H53" s="26" t="s">
        <v>331</v>
      </c>
      <c r="I53" s="26" t="s">
        <v>429</v>
      </c>
      <c r="J53" s="26"/>
      <c r="K53" s="26" t="s">
        <v>225</v>
      </c>
      <c r="L53" s="26" t="s">
        <v>332</v>
      </c>
      <c r="M53" s="32">
        <v>3</v>
      </c>
      <c r="N53" s="26" t="s">
        <v>333</v>
      </c>
      <c r="O53" s="31">
        <v>41913</v>
      </c>
      <c r="P53" s="31">
        <v>41934</v>
      </c>
      <c r="Q53" s="26">
        <v>33</v>
      </c>
      <c r="R53" s="26">
        <v>26</v>
      </c>
      <c r="S53" s="26">
        <v>70</v>
      </c>
      <c r="T53" s="26"/>
      <c r="U53" s="26">
        <v>50</v>
      </c>
      <c r="V53" s="26">
        <v>14</v>
      </c>
      <c r="W53" s="26">
        <v>1.5</v>
      </c>
      <c r="X53" s="26" t="s">
        <v>299</v>
      </c>
      <c r="Y53" s="26" t="s">
        <v>334</v>
      </c>
      <c r="Z53" s="26" t="s">
        <v>299</v>
      </c>
      <c r="AA53" s="26" t="s">
        <v>299</v>
      </c>
      <c r="AB53" s="26" t="s">
        <v>165</v>
      </c>
      <c r="AC53" s="26">
        <v>4</v>
      </c>
      <c r="AD53" s="26">
        <v>35</v>
      </c>
      <c r="AE53" s="26"/>
      <c r="AF53" s="26"/>
      <c r="AG53" s="26">
        <v>1188</v>
      </c>
      <c r="AH53" s="26">
        <f t="shared" si="4"/>
        <v>1748</v>
      </c>
      <c r="AI53" s="26"/>
      <c r="AJ53" s="26"/>
      <c r="AK53" s="26">
        <v>46250</v>
      </c>
      <c r="AL53" s="26"/>
      <c r="AM53" s="26">
        <v>47085</v>
      </c>
      <c r="AN53" s="26"/>
      <c r="AO53" s="26"/>
      <c r="AP53" s="26"/>
      <c r="AQ53" s="26">
        <v>48568</v>
      </c>
      <c r="AR53" s="26"/>
      <c r="AS53" s="26"/>
      <c r="AT53" s="26"/>
      <c r="AU53" s="26" t="s">
        <v>299</v>
      </c>
      <c r="AV53" s="26"/>
      <c r="AW53" s="26"/>
      <c r="AX53" s="26"/>
      <c r="AY53" s="26">
        <v>15</v>
      </c>
      <c r="AZ53" s="26">
        <v>10</v>
      </c>
      <c r="BA53" s="26" t="s">
        <v>72</v>
      </c>
      <c r="BB53" s="26" t="s">
        <v>335</v>
      </c>
      <c r="BC53" s="26" t="s">
        <v>303</v>
      </c>
      <c r="BD53" s="26"/>
      <c r="BE53" s="26" t="s">
        <v>265</v>
      </c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</row>
    <row r="54" spans="1:168" s="4" customFormat="1" x14ac:dyDescent="0.25">
      <c r="A54" s="54" t="s">
        <v>55</v>
      </c>
      <c r="B54" s="16">
        <v>24</v>
      </c>
      <c r="C54" s="11">
        <v>70</v>
      </c>
      <c r="D54" s="14">
        <v>60</v>
      </c>
      <c r="E54" s="14">
        <f t="shared" si="5"/>
        <v>51.333333333333336</v>
      </c>
      <c r="F54" s="23"/>
      <c r="G54" s="3" t="s">
        <v>403</v>
      </c>
      <c r="H54" s="3" t="s">
        <v>6</v>
      </c>
      <c r="I54" s="3"/>
      <c r="J54" s="3" t="s">
        <v>38</v>
      </c>
      <c r="K54" s="3" t="s">
        <v>225</v>
      </c>
      <c r="L54" s="3" t="s">
        <v>332</v>
      </c>
      <c r="M54" s="8"/>
      <c r="N54" s="3"/>
      <c r="O54" s="19">
        <v>41913</v>
      </c>
      <c r="P54" s="19">
        <v>41916</v>
      </c>
      <c r="Q54" s="3">
        <v>80</v>
      </c>
      <c r="R54" s="3">
        <v>0</v>
      </c>
      <c r="S54" s="3">
        <v>50</v>
      </c>
      <c r="T54" s="3"/>
      <c r="U54" s="3"/>
      <c r="V54" s="3"/>
      <c r="W54" s="3"/>
      <c r="X54" s="3"/>
      <c r="Y54" s="3"/>
      <c r="Z54" s="3"/>
      <c r="AA54" s="3"/>
      <c r="AB54" s="3" t="s">
        <v>165</v>
      </c>
      <c r="AC54" s="3"/>
      <c r="AD54" s="3"/>
      <c r="AE54" s="3"/>
      <c r="AF54" s="3" t="s">
        <v>55</v>
      </c>
      <c r="AG54" s="3">
        <v>2697</v>
      </c>
      <c r="AH54" s="3">
        <f t="shared" si="4"/>
        <v>1748</v>
      </c>
      <c r="AI54" s="22">
        <v>-0.73</v>
      </c>
      <c r="AJ54" s="22">
        <v>1.92</v>
      </c>
      <c r="AK54" s="3"/>
      <c r="AL54" s="3"/>
      <c r="AM54" s="3">
        <f>47723.18/12</f>
        <v>3976.9316666666668</v>
      </c>
      <c r="AN54" s="3">
        <f>(AM54*AI54)+AM54</f>
        <v>1073.7715499999999</v>
      </c>
      <c r="AO54" s="3">
        <f>AN54+AG54</f>
        <v>3770.7715499999999</v>
      </c>
      <c r="AP54" s="3">
        <f>AN54+AG54</f>
        <v>3770.7715499999999</v>
      </c>
      <c r="AQ54" s="3">
        <f>50142.3/12</f>
        <v>4178.5250000000005</v>
      </c>
      <c r="AR54" s="3">
        <f>(AQ54*AI54)+AQ54</f>
        <v>1128.2017500000002</v>
      </c>
      <c r="AS54" s="3">
        <f>AR54+AG54</f>
        <v>3825.2017500000002</v>
      </c>
      <c r="AT54" s="3">
        <f>AR54+AG54</f>
        <v>3825.2017500000002</v>
      </c>
      <c r="AU54" s="3">
        <f>52562.83/12</f>
        <v>4380.2358333333332</v>
      </c>
      <c r="AV54" s="3">
        <f>(AU54*AI54)+AU54</f>
        <v>1182.6636750000002</v>
      </c>
      <c r="AW54" s="3">
        <f>AV54+AG54</f>
        <v>3879.6636750000002</v>
      </c>
      <c r="AX54" s="3">
        <f>AV54+AG54</f>
        <v>3879.6636750000002</v>
      </c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</row>
    <row r="55" spans="1:168" s="3" customFormat="1" x14ac:dyDescent="0.25">
      <c r="A55" s="54" t="s">
        <v>257</v>
      </c>
      <c r="B55" s="27">
        <v>33</v>
      </c>
      <c r="C55" s="28">
        <v>56</v>
      </c>
      <c r="D55" s="29">
        <v>71</v>
      </c>
      <c r="E55" s="14">
        <f t="shared" si="5"/>
        <v>53.333333333333336</v>
      </c>
      <c r="F55" s="30"/>
      <c r="G55" s="26" t="s">
        <v>258</v>
      </c>
      <c r="H55" s="26" t="s">
        <v>384</v>
      </c>
      <c r="I55" s="26"/>
      <c r="J55" s="26"/>
      <c r="K55" s="26" t="s">
        <v>225</v>
      </c>
      <c r="L55" s="26" t="s">
        <v>385</v>
      </c>
      <c r="M55" s="32">
        <v>3</v>
      </c>
      <c r="N55" s="26" t="s">
        <v>390</v>
      </c>
      <c r="O55" s="31">
        <v>41902</v>
      </c>
      <c r="P55" s="31">
        <v>41921</v>
      </c>
      <c r="Q55" s="26" t="s">
        <v>299</v>
      </c>
      <c r="R55" s="26" t="s">
        <v>299</v>
      </c>
      <c r="S55" s="26" t="s">
        <v>299</v>
      </c>
      <c r="T55" s="26"/>
      <c r="U55" s="26">
        <v>65</v>
      </c>
      <c r="V55" s="26">
        <v>30</v>
      </c>
      <c r="W55" s="26">
        <v>1</v>
      </c>
      <c r="X55" s="26">
        <v>2</v>
      </c>
      <c r="Y55" s="26" t="s">
        <v>299</v>
      </c>
      <c r="Z55" s="26" t="s">
        <v>299</v>
      </c>
      <c r="AA55" s="26" t="s">
        <v>299</v>
      </c>
      <c r="AB55" s="26"/>
      <c r="AC55" s="26">
        <v>5</v>
      </c>
      <c r="AD55" s="26">
        <v>40</v>
      </c>
      <c r="AE55" s="26"/>
      <c r="AF55" s="26"/>
      <c r="AG55" s="26"/>
      <c r="AH55" s="26"/>
      <c r="AI55" s="26"/>
      <c r="AJ55" s="26"/>
      <c r="AK55" s="26">
        <v>50234</v>
      </c>
      <c r="AL55" s="26"/>
      <c r="AM55" s="26">
        <v>51523</v>
      </c>
      <c r="AN55" s="26"/>
      <c r="AO55" s="26"/>
      <c r="AP55" s="26"/>
      <c r="AQ55" s="26">
        <v>53294</v>
      </c>
      <c r="AR55" s="26"/>
      <c r="AS55" s="26"/>
      <c r="AT55" s="26"/>
      <c r="AU55" s="26">
        <v>55216</v>
      </c>
      <c r="AV55" s="26"/>
      <c r="AW55" s="26"/>
      <c r="AX55" s="26"/>
      <c r="AY55" s="26">
        <v>15</v>
      </c>
      <c r="AZ55" s="26">
        <v>12</v>
      </c>
      <c r="BA55" s="26" t="s">
        <v>290</v>
      </c>
      <c r="BB55" s="26" t="s">
        <v>132</v>
      </c>
      <c r="BC55" s="26" t="s">
        <v>243</v>
      </c>
      <c r="BD55" s="26" t="s">
        <v>391</v>
      </c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</row>
    <row r="56" spans="1:168" s="4" customFormat="1" x14ac:dyDescent="0.25">
      <c r="A56" s="54" t="s">
        <v>162</v>
      </c>
      <c r="B56" s="27">
        <v>35</v>
      </c>
      <c r="C56" s="28">
        <v>71</v>
      </c>
      <c r="D56" s="29">
        <v>54</v>
      </c>
      <c r="E56" s="14">
        <f t="shared" si="5"/>
        <v>53.333333333333336</v>
      </c>
      <c r="F56" s="34"/>
      <c r="G56" s="26" t="s">
        <v>403</v>
      </c>
      <c r="H56" s="26" t="s">
        <v>382</v>
      </c>
      <c r="I56" s="26"/>
      <c r="J56" s="26"/>
      <c r="K56" s="26" t="s">
        <v>225</v>
      </c>
      <c r="L56" s="26" t="s">
        <v>70</v>
      </c>
      <c r="M56" s="32">
        <v>3</v>
      </c>
      <c r="N56" s="26" t="s">
        <v>383</v>
      </c>
      <c r="O56" s="31">
        <v>41922</v>
      </c>
      <c r="P56" s="31">
        <v>41919</v>
      </c>
      <c r="Q56" s="26">
        <v>0</v>
      </c>
      <c r="R56" s="26">
        <v>70</v>
      </c>
      <c r="S56" s="26">
        <v>69</v>
      </c>
      <c r="T56" s="26"/>
      <c r="U56" s="26">
        <v>55</v>
      </c>
      <c r="V56" s="26">
        <v>24</v>
      </c>
      <c r="W56" s="26">
        <v>1.5</v>
      </c>
      <c r="X56" s="26" t="s">
        <v>299</v>
      </c>
      <c r="Y56" s="26" t="s">
        <v>299</v>
      </c>
      <c r="Z56" s="26" t="s">
        <v>299</v>
      </c>
      <c r="AA56" s="26" t="s">
        <v>299</v>
      </c>
      <c r="AB56" s="26"/>
      <c r="AC56" s="26">
        <v>8</v>
      </c>
      <c r="AD56" s="26">
        <v>50</v>
      </c>
      <c r="AE56" s="26"/>
      <c r="AF56" s="26"/>
      <c r="AG56" s="26">
        <v>1164</v>
      </c>
      <c r="AH56" s="26">
        <f t="shared" ref="AH56:AH63" si="6">(1648+150)-50</f>
        <v>1748</v>
      </c>
      <c r="AI56" s="26"/>
      <c r="AJ56" s="26"/>
      <c r="AK56" s="26">
        <v>51766</v>
      </c>
      <c r="AL56" s="26"/>
      <c r="AM56" s="26">
        <v>54168</v>
      </c>
      <c r="AN56" s="26"/>
      <c r="AO56" s="26"/>
      <c r="AP56" s="26"/>
      <c r="AQ56" s="26">
        <v>56380</v>
      </c>
      <c r="AR56" s="26"/>
      <c r="AS56" s="26"/>
      <c r="AT56" s="26"/>
      <c r="AU56" s="26" t="s">
        <v>299</v>
      </c>
      <c r="AV56" s="26"/>
      <c r="AW56" s="26"/>
      <c r="AX56" s="26"/>
      <c r="AY56" s="26">
        <v>15</v>
      </c>
      <c r="AZ56" s="26">
        <v>15</v>
      </c>
      <c r="BA56" s="26" t="s">
        <v>160</v>
      </c>
      <c r="BB56" s="26" t="s">
        <v>132</v>
      </c>
      <c r="BC56" s="26" t="s">
        <v>136</v>
      </c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</row>
    <row r="57" spans="1:168" s="4" customFormat="1" x14ac:dyDescent="0.25">
      <c r="A57" s="55" t="s">
        <v>227</v>
      </c>
      <c r="B57" s="17">
        <v>28</v>
      </c>
      <c r="C57" s="12">
        <v>63</v>
      </c>
      <c r="D57" s="15">
        <v>70</v>
      </c>
      <c r="E57" s="14">
        <f t="shared" si="5"/>
        <v>53.666666666666664</v>
      </c>
      <c r="F57" s="21"/>
      <c r="G57" s="4" t="s">
        <v>177</v>
      </c>
      <c r="H57" s="4" t="s">
        <v>118</v>
      </c>
      <c r="I57" s="4" t="s">
        <v>103</v>
      </c>
      <c r="K57" s="4" t="s">
        <v>225</v>
      </c>
      <c r="L57" s="4" t="s">
        <v>230</v>
      </c>
      <c r="M57" s="10">
        <v>4</v>
      </c>
      <c r="N57" s="4" t="s">
        <v>231</v>
      </c>
      <c r="O57" s="18">
        <v>41927</v>
      </c>
      <c r="P57" s="18">
        <v>41934</v>
      </c>
      <c r="Q57" s="4">
        <v>35</v>
      </c>
      <c r="R57" s="4">
        <v>8</v>
      </c>
      <c r="S57" s="4">
        <v>66</v>
      </c>
      <c r="U57" s="4">
        <v>56</v>
      </c>
      <c r="V57" s="4">
        <v>16</v>
      </c>
      <c r="W57" s="4">
        <v>1.4</v>
      </c>
      <c r="X57" s="4" t="s">
        <v>299</v>
      </c>
      <c r="Y57" s="4" t="s">
        <v>299</v>
      </c>
      <c r="Z57" s="4" t="s">
        <v>299</v>
      </c>
      <c r="AA57" s="4" t="s">
        <v>299</v>
      </c>
      <c r="AC57" s="4">
        <v>4</v>
      </c>
      <c r="AD57" s="4">
        <v>15</v>
      </c>
      <c r="AG57" s="3">
        <v>1665</v>
      </c>
      <c r="AH57" s="4">
        <f t="shared" si="6"/>
        <v>1748</v>
      </c>
      <c r="AK57" s="4">
        <v>50006</v>
      </c>
      <c r="AM57" s="4">
        <v>51544</v>
      </c>
      <c r="AQ57" s="4">
        <v>53317</v>
      </c>
      <c r="AU57" s="4">
        <v>55223</v>
      </c>
      <c r="AY57" s="4">
        <v>20</v>
      </c>
      <c r="AZ57" s="4">
        <v>10</v>
      </c>
      <c r="BA57" s="4" t="s">
        <v>72</v>
      </c>
      <c r="BB57" s="4" t="s">
        <v>335</v>
      </c>
      <c r="BC57" s="4" t="s">
        <v>73</v>
      </c>
      <c r="BD57" s="4" t="s">
        <v>232</v>
      </c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</row>
    <row r="58" spans="1:168" s="4" customFormat="1" x14ac:dyDescent="0.25">
      <c r="A58" s="54" t="s">
        <v>215</v>
      </c>
      <c r="B58" s="16">
        <v>35</v>
      </c>
      <c r="C58" s="11">
        <v>67</v>
      </c>
      <c r="D58" s="14">
        <v>69</v>
      </c>
      <c r="E58" s="14">
        <f t="shared" si="5"/>
        <v>57</v>
      </c>
      <c r="F58" s="20"/>
      <c r="G58" s="3" t="s">
        <v>319</v>
      </c>
      <c r="H58" s="3" t="s">
        <v>216</v>
      </c>
      <c r="I58" s="3" t="s">
        <v>444</v>
      </c>
      <c r="J58" s="3"/>
      <c r="K58" s="3" t="s">
        <v>225</v>
      </c>
      <c r="L58" s="3" t="s">
        <v>332</v>
      </c>
      <c r="M58" s="8">
        <v>3</v>
      </c>
      <c r="N58" s="3" t="s">
        <v>217</v>
      </c>
      <c r="O58" s="14"/>
      <c r="P58" s="19">
        <v>41917</v>
      </c>
      <c r="Q58" s="3">
        <v>46</v>
      </c>
      <c r="R58" s="3">
        <v>21</v>
      </c>
      <c r="S58" s="3">
        <v>47</v>
      </c>
      <c r="T58" s="3"/>
      <c r="U58" s="3">
        <v>48</v>
      </c>
      <c r="V58" s="3">
        <v>12</v>
      </c>
      <c r="W58" s="3">
        <v>2</v>
      </c>
      <c r="X58" s="3" t="s">
        <v>299</v>
      </c>
      <c r="Y58" s="3" t="s">
        <v>299</v>
      </c>
      <c r="Z58" s="3" t="s">
        <v>299</v>
      </c>
      <c r="AA58" s="3" t="s">
        <v>299</v>
      </c>
      <c r="AB58" s="3"/>
      <c r="AC58" s="3">
        <v>4</v>
      </c>
      <c r="AD58" s="3">
        <v>20</v>
      </c>
      <c r="AE58" s="3"/>
      <c r="AF58" s="3"/>
      <c r="AG58" s="3">
        <v>1497</v>
      </c>
      <c r="AH58" s="3">
        <f t="shared" si="6"/>
        <v>1748</v>
      </c>
      <c r="AI58" s="3"/>
      <c r="AJ58" s="3"/>
      <c r="AK58" s="3">
        <v>51026</v>
      </c>
      <c r="AL58" s="3"/>
      <c r="AM58" s="3">
        <v>52392</v>
      </c>
      <c r="AN58" s="3"/>
      <c r="AO58" s="3"/>
      <c r="AP58" s="3"/>
      <c r="AQ58" s="3">
        <v>53760</v>
      </c>
      <c r="AR58" s="3"/>
      <c r="AS58" s="3"/>
      <c r="AT58" s="3"/>
      <c r="AU58" s="3" t="s">
        <v>299</v>
      </c>
      <c r="AV58" s="3"/>
      <c r="AW58" s="3"/>
      <c r="AX58" s="3"/>
      <c r="AY58" s="3">
        <v>15</v>
      </c>
      <c r="AZ58" s="3">
        <v>20</v>
      </c>
      <c r="BA58" s="3" t="s">
        <v>289</v>
      </c>
      <c r="BB58" s="3" t="s">
        <v>19</v>
      </c>
      <c r="BC58" s="3" t="s">
        <v>136</v>
      </c>
      <c r="BD58" s="3" t="s">
        <v>117</v>
      </c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</row>
    <row r="59" spans="1:168" s="4" customFormat="1" x14ac:dyDescent="0.25">
      <c r="A59" s="54" t="s">
        <v>207</v>
      </c>
      <c r="B59" s="27">
        <v>35</v>
      </c>
      <c r="C59" s="28">
        <v>73</v>
      </c>
      <c r="D59" s="29">
        <v>63</v>
      </c>
      <c r="E59" s="14">
        <f t="shared" si="5"/>
        <v>57</v>
      </c>
      <c r="F59" s="30"/>
      <c r="G59" s="26" t="s">
        <v>313</v>
      </c>
      <c r="H59" s="26" t="s">
        <v>205</v>
      </c>
      <c r="I59" s="26"/>
      <c r="J59" s="26"/>
      <c r="K59" s="26" t="s">
        <v>225</v>
      </c>
      <c r="L59" s="26"/>
      <c r="M59" s="32"/>
      <c r="N59" s="26"/>
      <c r="O59" s="31">
        <v>41923</v>
      </c>
      <c r="P59" s="31">
        <v>41916</v>
      </c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>
        <v>1617</v>
      </c>
      <c r="AH59" s="26">
        <f t="shared" si="6"/>
        <v>1748</v>
      </c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  <c r="CK59" s="26"/>
      <c r="CL59" s="26"/>
      <c r="CM59" s="26"/>
      <c r="CN59" s="26"/>
      <c r="CO59" s="26"/>
      <c r="CP59" s="26"/>
      <c r="CQ59" s="26"/>
      <c r="CR59" s="26"/>
      <c r="CS59" s="26"/>
      <c r="CT59" s="26"/>
      <c r="CU59" s="26"/>
      <c r="CV59" s="26"/>
      <c r="CW59" s="26"/>
      <c r="CX59" s="26"/>
      <c r="CY59" s="26"/>
      <c r="CZ59" s="26"/>
      <c r="DA59" s="26"/>
      <c r="DB59" s="26"/>
      <c r="DC59" s="26"/>
      <c r="DD59" s="26"/>
      <c r="DE59" s="26"/>
      <c r="DF59" s="26"/>
      <c r="DG59" s="26"/>
      <c r="DH59" s="26"/>
      <c r="DI59" s="26"/>
      <c r="DJ59" s="26"/>
      <c r="DK59" s="26"/>
      <c r="DL59" s="26"/>
      <c r="DM59" s="26"/>
      <c r="DN59" s="26"/>
      <c r="DO59" s="26"/>
      <c r="DP59" s="26"/>
      <c r="DQ59" s="26"/>
      <c r="DR59" s="26"/>
      <c r="DS59" s="26"/>
      <c r="DT59" s="26"/>
      <c r="DU59" s="26"/>
      <c r="DV59" s="26"/>
      <c r="DW59" s="26"/>
      <c r="DX59" s="26"/>
      <c r="DY59" s="26"/>
      <c r="DZ59" s="26"/>
      <c r="EA59" s="26"/>
      <c r="EB59" s="26"/>
      <c r="EC59" s="26"/>
      <c r="ED59" s="26"/>
      <c r="EE59" s="26"/>
      <c r="EF59" s="26"/>
      <c r="EG59" s="26"/>
      <c r="EH59" s="26"/>
      <c r="EI59" s="26"/>
      <c r="EJ59" s="26"/>
      <c r="EK59" s="26"/>
      <c r="EL59" s="26"/>
      <c r="EM59" s="26"/>
      <c r="EN59" s="26"/>
      <c r="EO59" s="26"/>
      <c r="EP59" s="26"/>
      <c r="EQ59" s="26"/>
      <c r="ER59" s="26"/>
      <c r="ES59" s="26"/>
      <c r="ET59" s="26"/>
      <c r="EU59" s="26"/>
      <c r="EV59" s="26"/>
      <c r="EW59" s="26"/>
      <c r="EX59" s="26"/>
      <c r="EY59" s="26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</row>
    <row r="60" spans="1:168" s="4" customFormat="1" x14ac:dyDescent="0.25">
      <c r="A60" s="55" t="s">
        <v>254</v>
      </c>
      <c r="B60" s="17"/>
      <c r="C60" s="12">
        <v>59</v>
      </c>
      <c r="D60" s="15">
        <v>57</v>
      </c>
      <c r="E60" s="14">
        <f>(C60+D60)/2</f>
        <v>58</v>
      </c>
      <c r="F60" s="21"/>
      <c r="G60" s="4" t="s">
        <v>403</v>
      </c>
      <c r="H60" s="4" t="s">
        <v>4</v>
      </c>
      <c r="K60" s="4" t="s">
        <v>292</v>
      </c>
      <c r="M60" s="10"/>
      <c r="O60" s="18">
        <v>41919</v>
      </c>
      <c r="P60" s="19" t="s">
        <v>239</v>
      </c>
      <c r="AH60" s="4">
        <f t="shared" si="6"/>
        <v>1748</v>
      </c>
    </row>
    <row r="61" spans="1:168" s="3" customFormat="1" x14ac:dyDescent="0.25">
      <c r="A61" s="55" t="s">
        <v>402</v>
      </c>
      <c r="B61" s="17"/>
      <c r="C61" s="12">
        <v>61</v>
      </c>
      <c r="D61" s="15">
        <v>56</v>
      </c>
      <c r="E61" s="14">
        <f>(C61+D61)/2</f>
        <v>58.5</v>
      </c>
      <c r="F61" s="21"/>
      <c r="G61" s="4" t="s">
        <v>403</v>
      </c>
      <c r="H61" s="4" t="s">
        <v>2</v>
      </c>
      <c r="I61" s="4"/>
      <c r="J61" s="4"/>
      <c r="K61" s="4" t="s">
        <v>225</v>
      </c>
      <c r="L61" s="4" t="s">
        <v>389</v>
      </c>
      <c r="M61" s="10">
        <v>3</v>
      </c>
      <c r="N61" s="4" t="s">
        <v>149</v>
      </c>
      <c r="O61" s="14" t="s">
        <v>12</v>
      </c>
      <c r="P61" s="19">
        <v>41922</v>
      </c>
      <c r="Q61" s="4">
        <v>63</v>
      </c>
      <c r="R61" s="4">
        <v>21</v>
      </c>
      <c r="S61" s="4">
        <v>56</v>
      </c>
      <c r="T61" s="4"/>
      <c r="U61" s="4">
        <v>45</v>
      </c>
      <c r="V61" s="4">
        <v>23</v>
      </c>
      <c r="W61" s="4">
        <v>1.5</v>
      </c>
      <c r="X61" s="4" t="s">
        <v>299</v>
      </c>
      <c r="Y61" s="4" t="s">
        <v>299</v>
      </c>
      <c r="Z61" s="4" t="s">
        <v>299</v>
      </c>
      <c r="AA61" s="4" t="s">
        <v>299</v>
      </c>
      <c r="AB61" s="4"/>
      <c r="AC61" s="4">
        <v>8</v>
      </c>
      <c r="AD61" s="4">
        <v>30</v>
      </c>
      <c r="AE61" s="4"/>
      <c r="AF61" s="4"/>
      <c r="AG61" s="4"/>
      <c r="AH61" s="4">
        <f t="shared" si="6"/>
        <v>1748</v>
      </c>
      <c r="AI61" s="4"/>
      <c r="AJ61" s="4"/>
      <c r="AK61" s="4">
        <v>55000</v>
      </c>
      <c r="AL61" s="4"/>
      <c r="AM61" s="4">
        <v>58000</v>
      </c>
      <c r="AN61" s="4"/>
      <c r="AO61" s="4"/>
      <c r="AP61" s="4"/>
      <c r="AQ61" s="4">
        <v>60500</v>
      </c>
      <c r="AR61" s="4"/>
      <c r="AS61" s="4"/>
      <c r="AT61" s="4"/>
      <c r="AU61" s="4" t="s">
        <v>299</v>
      </c>
      <c r="AV61" s="4"/>
      <c r="AW61" s="4"/>
      <c r="AX61" s="4"/>
      <c r="AY61" s="4">
        <v>20</v>
      </c>
      <c r="AZ61" s="4" t="s">
        <v>326</v>
      </c>
      <c r="BA61" s="4" t="s">
        <v>72</v>
      </c>
      <c r="BB61" s="4" t="s">
        <v>146</v>
      </c>
      <c r="BC61" s="4" t="s">
        <v>289</v>
      </c>
      <c r="BD61" s="4" t="s">
        <v>150</v>
      </c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</row>
    <row r="62" spans="1:168" s="4" customFormat="1" x14ac:dyDescent="0.25">
      <c r="A62" s="55" t="s">
        <v>256</v>
      </c>
      <c r="B62" s="17"/>
      <c r="C62" s="12">
        <v>66</v>
      </c>
      <c r="D62" s="15">
        <v>71</v>
      </c>
      <c r="E62" s="14">
        <f>(C62+D62)/2</f>
        <v>68.5</v>
      </c>
      <c r="F62" s="21"/>
      <c r="G62" s="4" t="s">
        <v>403</v>
      </c>
      <c r="H62" s="4" t="s">
        <v>161</v>
      </c>
      <c r="K62" s="4" t="s">
        <v>225</v>
      </c>
      <c r="M62" s="10"/>
      <c r="O62" s="15"/>
      <c r="P62" s="14" t="s">
        <v>239</v>
      </c>
      <c r="AH62" s="4">
        <f t="shared" si="6"/>
        <v>1748</v>
      </c>
    </row>
    <row r="63" spans="1:168" s="4" customFormat="1" x14ac:dyDescent="0.25">
      <c r="A63" s="55" t="s">
        <v>255</v>
      </c>
      <c r="B63" s="17"/>
      <c r="C63" s="12">
        <v>74</v>
      </c>
      <c r="D63" s="15">
        <v>66</v>
      </c>
      <c r="E63" s="14">
        <f>(C63+D63)/2</f>
        <v>70</v>
      </c>
      <c r="F63" s="21"/>
      <c r="G63" s="4" t="s">
        <v>403</v>
      </c>
      <c r="H63" s="4" t="s">
        <v>161</v>
      </c>
      <c r="K63" s="4" t="s">
        <v>225</v>
      </c>
      <c r="L63" s="4" t="s">
        <v>51</v>
      </c>
      <c r="M63" s="10">
        <v>3</v>
      </c>
      <c r="N63" s="4" t="s">
        <v>135</v>
      </c>
      <c r="O63" s="18">
        <v>41924</v>
      </c>
      <c r="P63" s="18">
        <v>41945</v>
      </c>
      <c r="Q63" s="4">
        <v>8</v>
      </c>
      <c r="R63" s="4">
        <v>70</v>
      </c>
      <c r="S63" s="4">
        <v>87</v>
      </c>
      <c r="U63" s="4">
        <v>60</v>
      </c>
      <c r="V63" s="4">
        <v>24</v>
      </c>
      <c r="W63" s="4">
        <v>2</v>
      </c>
      <c r="X63" s="4">
        <v>1.4</v>
      </c>
      <c r="Y63" s="4">
        <v>1</v>
      </c>
      <c r="Z63" s="4">
        <v>1</v>
      </c>
      <c r="AA63" s="4" t="s">
        <v>299</v>
      </c>
      <c r="AC63" s="4">
        <v>5</v>
      </c>
      <c r="AD63" s="4">
        <v>20</v>
      </c>
      <c r="AH63" s="4">
        <f t="shared" si="6"/>
        <v>1748</v>
      </c>
      <c r="AK63" s="4">
        <v>56910</v>
      </c>
      <c r="AM63" s="4">
        <v>60322</v>
      </c>
      <c r="AQ63" s="4">
        <v>64965</v>
      </c>
      <c r="AU63" s="4" t="s">
        <v>299</v>
      </c>
      <c r="AY63" s="4">
        <v>30</v>
      </c>
      <c r="AZ63" s="4">
        <v>10</v>
      </c>
      <c r="BA63" s="4" t="s">
        <v>290</v>
      </c>
      <c r="BB63" s="4" t="s">
        <v>132</v>
      </c>
      <c r="BC63" s="4" t="s">
        <v>289</v>
      </c>
      <c r="BD63" s="4" t="s">
        <v>52</v>
      </c>
    </row>
    <row r="64" spans="1:168" s="4" customFormat="1" x14ac:dyDescent="0.25">
      <c r="A64" s="55" t="s">
        <v>466</v>
      </c>
      <c r="B64" s="17"/>
      <c r="C64" s="12"/>
      <c r="D64" s="15"/>
      <c r="E64" s="14"/>
      <c r="F64" s="21"/>
      <c r="G64" s="4" t="s">
        <v>176</v>
      </c>
      <c r="H64" s="4" t="s">
        <v>467</v>
      </c>
      <c r="M64" s="10"/>
      <c r="O64" s="18"/>
      <c r="P64" s="18"/>
    </row>
    <row r="65" spans="1:168" s="4" customFormat="1" x14ac:dyDescent="0.25">
      <c r="A65" s="57" t="s">
        <v>468</v>
      </c>
      <c r="B65" s="17"/>
      <c r="C65" s="12"/>
      <c r="D65" s="15"/>
      <c r="E65" s="14"/>
      <c r="F65" s="21"/>
      <c r="G65" s="4" t="s">
        <v>403</v>
      </c>
      <c r="H65" s="4" t="s">
        <v>469</v>
      </c>
      <c r="M65" s="10"/>
      <c r="O65" s="18"/>
      <c r="P65" s="18"/>
    </row>
    <row r="66" spans="1:168" s="4" customFormat="1" x14ac:dyDescent="0.25">
      <c r="A66" s="55" t="s">
        <v>470</v>
      </c>
      <c r="B66" s="17"/>
      <c r="C66" s="12"/>
      <c r="D66" s="15"/>
      <c r="E66" s="14"/>
      <c r="F66" s="21"/>
      <c r="G66" s="4" t="s">
        <v>262</v>
      </c>
      <c r="H66" s="4" t="s">
        <v>191</v>
      </c>
      <c r="M66" s="10"/>
      <c r="O66" s="18"/>
      <c r="P66" s="18"/>
    </row>
    <row r="67" spans="1:168" s="4" customFormat="1" x14ac:dyDescent="0.25">
      <c r="A67" s="55" t="s">
        <v>471</v>
      </c>
      <c r="B67" s="17"/>
      <c r="C67" s="12"/>
      <c r="D67" s="15"/>
      <c r="E67" s="14"/>
      <c r="F67" s="21"/>
      <c r="G67" s="4" t="s">
        <v>306</v>
      </c>
      <c r="H67" s="4" t="s">
        <v>472</v>
      </c>
      <c r="M67" s="10"/>
      <c r="O67" s="18"/>
      <c r="P67" s="18"/>
    </row>
    <row r="68" spans="1:168" s="4" customFormat="1" x14ac:dyDescent="0.25">
      <c r="A68" s="55"/>
      <c r="B68" s="17"/>
      <c r="C68" s="12"/>
      <c r="D68" s="15"/>
      <c r="E68" s="14"/>
      <c r="F68" s="21"/>
      <c r="M68" s="10"/>
      <c r="O68" s="18"/>
      <c r="P68" s="18"/>
    </row>
    <row r="69" spans="1:168" s="4" customFormat="1" x14ac:dyDescent="0.25">
      <c r="B69" s="17" t="s">
        <v>465</v>
      </c>
      <c r="C69" s="12"/>
      <c r="D69" s="15"/>
      <c r="E69" s="15"/>
      <c r="F69" s="21"/>
      <c r="M69" s="10"/>
      <c r="O69" s="15"/>
      <c r="P69" s="15"/>
    </row>
    <row r="70" spans="1:168" s="1" customFormat="1" x14ac:dyDescent="0.25">
      <c r="A70"/>
      <c r="B70" s="17"/>
      <c r="C70" s="12"/>
      <c r="D70" s="15"/>
      <c r="E70" s="15"/>
      <c r="F70" s="21"/>
      <c r="G70"/>
      <c r="H70"/>
      <c r="I70"/>
      <c r="J70"/>
      <c r="K70"/>
      <c r="L70"/>
      <c r="M70" s="5"/>
      <c r="N70"/>
      <c r="O70" s="15"/>
      <c r="P70" s="15"/>
      <c r="Q70"/>
      <c r="R70"/>
      <c r="S70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7"/>
      <c r="AF70" s="2"/>
      <c r="AG70" s="2"/>
      <c r="AH70" s="2"/>
      <c r="AI70" s="7"/>
      <c r="AJ70" s="2"/>
      <c r="AK70" s="2"/>
      <c r="AL70" s="7"/>
      <c r="AM70" s="2"/>
      <c r="AN70" s="7"/>
      <c r="AO70" s="7"/>
      <c r="AP70" s="7"/>
      <c r="AQ70" s="2"/>
      <c r="AR70" s="7"/>
      <c r="AS70" s="7"/>
      <c r="AT70" s="7"/>
      <c r="AU70" s="2"/>
      <c r="AV70" s="7"/>
      <c r="AW70" s="7"/>
      <c r="AX70" s="7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</row>
    <row r="71" spans="1:168" s="46" customFormat="1" x14ac:dyDescent="0.25">
      <c r="A71" s="38" t="s">
        <v>461</v>
      </c>
      <c r="B71" s="39"/>
      <c r="C71" s="40"/>
      <c r="D71" s="41"/>
      <c r="E71" s="41"/>
      <c r="F71" s="42"/>
      <c r="G71" s="43"/>
      <c r="H71" s="43"/>
      <c r="I71" s="43"/>
      <c r="J71" s="43"/>
      <c r="K71" s="43"/>
      <c r="L71" s="43"/>
      <c r="M71" s="44"/>
      <c r="N71" s="43"/>
      <c r="O71" s="41"/>
      <c r="P71" s="41"/>
      <c r="Q71" s="43"/>
      <c r="R71" s="43"/>
      <c r="S71" s="43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5"/>
      <c r="BX71" s="45"/>
      <c r="BY71" s="45"/>
      <c r="BZ71" s="45"/>
      <c r="CA71" s="45"/>
      <c r="CB71" s="45"/>
      <c r="CC71" s="45"/>
      <c r="CD71" s="45"/>
      <c r="CE71" s="45"/>
      <c r="CF71" s="45"/>
      <c r="CG71" s="45"/>
      <c r="CH71" s="45"/>
      <c r="CI71" s="45"/>
      <c r="CJ71" s="45"/>
      <c r="CK71" s="45"/>
      <c r="CL71" s="45"/>
      <c r="CM71" s="45"/>
      <c r="CN71" s="45"/>
      <c r="CO71" s="45"/>
      <c r="CP71" s="45"/>
      <c r="CQ71" s="45"/>
      <c r="CR71" s="45"/>
      <c r="CS71" s="45"/>
      <c r="CT71" s="45"/>
      <c r="CU71" s="45"/>
      <c r="CV71" s="45"/>
      <c r="CW71" s="45"/>
      <c r="CX71" s="45"/>
      <c r="CY71" s="45"/>
      <c r="CZ71" s="45"/>
      <c r="DA71" s="45"/>
      <c r="DB71" s="45"/>
      <c r="DC71" s="45"/>
      <c r="DD71" s="45"/>
      <c r="DE71" s="45"/>
      <c r="DF71" s="45"/>
      <c r="DG71" s="45"/>
      <c r="DH71" s="45"/>
      <c r="DI71" s="45"/>
      <c r="DJ71" s="45"/>
      <c r="DK71" s="45"/>
      <c r="DL71" s="45"/>
      <c r="DM71" s="45"/>
      <c r="DN71" s="45"/>
      <c r="DO71" s="45"/>
      <c r="DP71" s="45"/>
      <c r="DQ71" s="45"/>
      <c r="DR71" s="45"/>
      <c r="DS71" s="45"/>
      <c r="DT71" s="45"/>
      <c r="DU71" s="45"/>
      <c r="DV71" s="45"/>
      <c r="DW71" s="45"/>
      <c r="DX71" s="45"/>
      <c r="DY71" s="45"/>
      <c r="DZ71" s="45"/>
      <c r="EA71" s="45"/>
      <c r="EB71" s="45"/>
      <c r="EC71" s="45"/>
      <c r="ED71" s="45"/>
      <c r="EE71" s="45"/>
      <c r="EF71" s="45"/>
      <c r="EG71" s="45"/>
      <c r="EH71" s="45"/>
      <c r="EI71" s="45"/>
      <c r="EJ71" s="45"/>
    </row>
    <row r="72" spans="1:168" s="47" customFormat="1" x14ac:dyDescent="0.25">
      <c r="A72" s="47" t="s">
        <v>60</v>
      </c>
      <c r="B72" s="48" t="s">
        <v>21</v>
      </c>
      <c r="C72" s="49" t="s">
        <v>276</v>
      </c>
      <c r="D72" s="50" t="s">
        <v>277</v>
      </c>
      <c r="E72" s="51" t="s">
        <v>29</v>
      </c>
      <c r="F72" s="52"/>
      <c r="G72" s="47" t="s">
        <v>61</v>
      </c>
      <c r="H72" s="47" t="s">
        <v>23</v>
      </c>
      <c r="I72" s="47" t="s">
        <v>450</v>
      </c>
      <c r="J72" s="47" t="s">
        <v>25</v>
      </c>
      <c r="K72" s="47" t="s">
        <v>282</v>
      </c>
      <c r="L72" s="47" t="s">
        <v>448</v>
      </c>
      <c r="M72" s="47" t="s">
        <v>449</v>
      </c>
      <c r="N72" s="47" t="s">
        <v>447</v>
      </c>
      <c r="O72" s="53" t="s">
        <v>445</v>
      </c>
      <c r="P72" s="53" t="s">
        <v>446</v>
      </c>
      <c r="Q72" s="47" t="s">
        <v>64</v>
      </c>
      <c r="R72" s="47" t="s">
        <v>181</v>
      </c>
      <c r="S72" s="47" t="s">
        <v>182</v>
      </c>
      <c r="U72" s="47" t="s">
        <v>183</v>
      </c>
      <c r="V72" s="47" t="s">
        <v>184</v>
      </c>
      <c r="W72" s="47" t="s">
        <v>185</v>
      </c>
      <c r="X72" s="47" t="s">
        <v>98</v>
      </c>
      <c r="Y72" s="47" t="s">
        <v>99</v>
      </c>
      <c r="Z72" s="47" t="s">
        <v>100</v>
      </c>
      <c r="AA72" s="47" t="s">
        <v>101</v>
      </c>
      <c r="AB72" s="47" t="s">
        <v>164</v>
      </c>
      <c r="AC72" s="47" t="s">
        <v>451</v>
      </c>
      <c r="AD72" s="47" t="s">
        <v>452</v>
      </c>
      <c r="AG72" s="47" t="s">
        <v>454</v>
      </c>
      <c r="AH72" s="47" t="s">
        <v>453</v>
      </c>
      <c r="AI72" s="47" t="s">
        <v>363</v>
      </c>
      <c r="AJ72" s="47" t="s">
        <v>364</v>
      </c>
      <c r="AK72" s="47" t="s">
        <v>186</v>
      </c>
      <c r="AL72" s="47" t="s">
        <v>45</v>
      </c>
      <c r="AM72" s="47" t="s">
        <v>187</v>
      </c>
      <c r="AN72" s="47" t="s">
        <v>46</v>
      </c>
      <c r="AO72" s="47" t="s">
        <v>49</v>
      </c>
      <c r="AP72" s="47" t="s">
        <v>50</v>
      </c>
      <c r="AQ72" s="47" t="s">
        <v>188</v>
      </c>
      <c r="AR72" s="47" t="s">
        <v>47</v>
      </c>
      <c r="AS72" s="47" t="s">
        <v>49</v>
      </c>
      <c r="AT72" s="47" t="s">
        <v>50</v>
      </c>
      <c r="AU72" s="47" t="s">
        <v>300</v>
      </c>
      <c r="AV72" s="47" t="s">
        <v>48</v>
      </c>
      <c r="AW72" s="47" t="s">
        <v>49</v>
      </c>
      <c r="AX72" s="47" t="s">
        <v>50</v>
      </c>
      <c r="AY72" s="47" t="s">
        <v>280</v>
      </c>
      <c r="AZ72" s="47" t="s">
        <v>279</v>
      </c>
      <c r="BA72" s="47" t="s">
        <v>301</v>
      </c>
      <c r="BB72" s="47" t="s">
        <v>456</v>
      </c>
      <c r="BC72" s="47" t="s">
        <v>77</v>
      </c>
      <c r="BD72" s="47" t="s">
        <v>287</v>
      </c>
      <c r="BE72" s="47" t="s">
        <v>439</v>
      </c>
    </row>
    <row r="73" spans="1:168" s="4" customFormat="1" x14ac:dyDescent="0.25">
      <c r="A73" s="55" t="s">
        <v>27</v>
      </c>
      <c r="B73" s="17"/>
      <c r="C73" s="12">
        <v>1</v>
      </c>
      <c r="D73" s="15">
        <v>1</v>
      </c>
      <c r="E73" s="15">
        <f>(C73+D73)/2</f>
        <v>1</v>
      </c>
      <c r="F73" s="21"/>
      <c r="G73" s="4" t="s">
        <v>351</v>
      </c>
      <c r="H73" s="4" t="s">
        <v>297</v>
      </c>
      <c r="K73" s="4" t="s">
        <v>292</v>
      </c>
      <c r="L73" s="4" t="s">
        <v>298</v>
      </c>
      <c r="M73" s="10">
        <v>3</v>
      </c>
      <c r="N73" s="4" t="s">
        <v>71</v>
      </c>
      <c r="O73" s="15"/>
      <c r="P73" s="15"/>
      <c r="R73" s="4">
        <v>16</v>
      </c>
      <c r="U73" s="4">
        <v>60</v>
      </c>
      <c r="V73" s="4">
        <v>24</v>
      </c>
      <c r="W73" s="4">
        <v>2</v>
      </c>
      <c r="X73" s="4">
        <v>0</v>
      </c>
      <c r="Y73" s="4">
        <v>0.4</v>
      </c>
      <c r="Z73" s="4">
        <v>0.4</v>
      </c>
      <c r="AA73" s="4">
        <v>0.4</v>
      </c>
      <c r="AC73" s="4">
        <v>8</v>
      </c>
      <c r="AD73" s="4">
        <v>15</v>
      </c>
      <c r="AK73" s="4">
        <v>51987</v>
      </c>
      <c r="AM73" s="4">
        <v>54038</v>
      </c>
      <c r="AQ73" s="4">
        <v>56191</v>
      </c>
      <c r="AU73" s="36">
        <v>58980</v>
      </c>
      <c r="AV73" s="36"/>
      <c r="AW73" s="36"/>
      <c r="AX73" s="36"/>
      <c r="AY73" s="4">
        <v>20</v>
      </c>
      <c r="AZ73" s="4">
        <v>10</v>
      </c>
      <c r="BA73" s="4" t="s">
        <v>302</v>
      </c>
      <c r="BB73" s="4" t="s">
        <v>303</v>
      </c>
      <c r="BC73" s="4" t="s">
        <v>73</v>
      </c>
      <c r="BD73" s="4" t="s">
        <v>94</v>
      </c>
      <c r="BE73" s="4" t="s">
        <v>156</v>
      </c>
    </row>
    <row r="74" spans="1:168" s="4" customFormat="1" x14ac:dyDescent="0.25">
      <c r="A74" s="55" t="s">
        <v>321</v>
      </c>
      <c r="B74" s="17"/>
      <c r="C74" s="12">
        <v>2</v>
      </c>
      <c r="D74" s="15">
        <v>2</v>
      </c>
      <c r="E74" s="15">
        <f>(C74+D74)/2</f>
        <v>2</v>
      </c>
      <c r="F74" s="21"/>
      <c r="G74" s="4" t="s">
        <v>322</v>
      </c>
      <c r="H74" s="4" t="s">
        <v>131</v>
      </c>
      <c r="K74" s="4" t="s">
        <v>225</v>
      </c>
      <c r="L74" s="4" t="s">
        <v>138</v>
      </c>
      <c r="M74" s="10">
        <v>3</v>
      </c>
      <c r="N74" s="4" t="s">
        <v>343</v>
      </c>
      <c r="O74" s="15"/>
      <c r="P74" s="15"/>
      <c r="Q74" s="4">
        <v>12</v>
      </c>
      <c r="R74" s="4">
        <v>1</v>
      </c>
      <c r="S74" s="4">
        <v>61</v>
      </c>
      <c r="U74" s="4">
        <v>50</v>
      </c>
      <c r="V74" s="4">
        <v>16</v>
      </c>
      <c r="W74" s="4">
        <v>1</v>
      </c>
      <c r="X74" s="4">
        <v>2</v>
      </c>
      <c r="Y74" s="4" t="s">
        <v>299</v>
      </c>
      <c r="Z74" s="4" t="s">
        <v>299</v>
      </c>
      <c r="AA74" s="4" t="s">
        <v>299</v>
      </c>
      <c r="AC74" s="4">
        <v>5</v>
      </c>
      <c r="AD74" s="4">
        <v>33</v>
      </c>
      <c r="AK74" s="4">
        <v>52476</v>
      </c>
      <c r="AM74" s="4">
        <v>54636</v>
      </c>
      <c r="AQ74" s="4">
        <v>56880</v>
      </c>
      <c r="AU74" s="4" t="s">
        <v>299</v>
      </c>
      <c r="AY74" s="4">
        <v>15</v>
      </c>
      <c r="AZ74" s="4">
        <v>12</v>
      </c>
      <c r="BA74" s="4" t="s">
        <v>289</v>
      </c>
      <c r="BB74" s="4" t="s">
        <v>132</v>
      </c>
      <c r="BC74" s="3" t="s">
        <v>457</v>
      </c>
      <c r="BD74" s="4" t="s">
        <v>139</v>
      </c>
    </row>
    <row r="75" spans="1:168" s="4" customFormat="1" x14ac:dyDescent="0.25">
      <c r="A75" s="54" t="s">
        <v>152</v>
      </c>
      <c r="B75" s="16">
        <v>4</v>
      </c>
      <c r="C75" s="11">
        <v>4</v>
      </c>
      <c r="D75" s="14">
        <v>4</v>
      </c>
      <c r="E75" s="14">
        <f>AVERAGE(B75:D75)</f>
        <v>4</v>
      </c>
      <c r="F75" s="20"/>
      <c r="G75" s="3" t="s">
        <v>177</v>
      </c>
      <c r="H75" s="3" t="s">
        <v>233</v>
      </c>
      <c r="I75" s="3" t="s">
        <v>412</v>
      </c>
      <c r="J75" s="3" t="s">
        <v>30</v>
      </c>
      <c r="K75" s="3" t="s">
        <v>225</v>
      </c>
      <c r="L75" s="3" t="s">
        <v>234</v>
      </c>
      <c r="M75" s="8">
        <v>3</v>
      </c>
      <c r="N75" s="3" t="s">
        <v>235</v>
      </c>
      <c r="O75" s="19">
        <v>41921</v>
      </c>
      <c r="P75" s="19">
        <v>41923</v>
      </c>
      <c r="Q75" s="3">
        <v>18</v>
      </c>
      <c r="R75" s="3">
        <v>19</v>
      </c>
      <c r="S75" s="3">
        <v>61</v>
      </c>
      <c r="T75" s="3"/>
      <c r="U75" s="3">
        <v>50</v>
      </c>
      <c r="V75" s="3">
        <v>14</v>
      </c>
      <c r="W75" s="3">
        <v>1.7</v>
      </c>
      <c r="X75" s="3" t="s">
        <v>299</v>
      </c>
      <c r="Y75" s="3" t="s">
        <v>299</v>
      </c>
      <c r="Z75" s="3" t="s">
        <v>299</v>
      </c>
      <c r="AA75" s="3" t="s">
        <v>299</v>
      </c>
      <c r="AB75" s="3" t="s">
        <v>165</v>
      </c>
      <c r="AC75" s="3">
        <v>5</v>
      </c>
      <c r="AD75" s="3">
        <v>0</v>
      </c>
      <c r="AE75" s="3"/>
      <c r="AF75" s="3" t="s">
        <v>152</v>
      </c>
      <c r="AG75" s="3">
        <v>1386</v>
      </c>
      <c r="AH75" s="3">
        <f>(1648+150)-50</f>
        <v>1748</v>
      </c>
      <c r="AI75" s="22">
        <v>-0.02</v>
      </c>
      <c r="AJ75" s="22">
        <v>-0.06</v>
      </c>
      <c r="AK75" s="3">
        <f>42743/12</f>
        <v>3561.9166666666665</v>
      </c>
      <c r="AL75" s="3">
        <f>(AK75*AI75)+AK75</f>
        <v>3490.6783333333333</v>
      </c>
      <c r="AM75" s="3">
        <f>44224.63/12</f>
        <v>3685.3858333333333</v>
      </c>
      <c r="AN75" s="3">
        <f>(AM75*AI75)+AM75</f>
        <v>3611.6781166666665</v>
      </c>
      <c r="AO75" s="3">
        <f>AN75+AG75</f>
        <v>4997.678116666666</v>
      </c>
      <c r="AP75" s="3">
        <f>AN75+AH75</f>
        <v>5359.678116666666</v>
      </c>
      <c r="AQ75" s="3">
        <f>45817.25/12</f>
        <v>3818.1041666666665</v>
      </c>
      <c r="AR75" s="3">
        <f>(AQ75*AI75)+AQ75</f>
        <v>3741.7420833333331</v>
      </c>
      <c r="AS75" s="3">
        <f>AR75+AG75</f>
        <v>5127.7420833333326</v>
      </c>
      <c r="AT75" s="3">
        <f>AR75+AH75</f>
        <v>5489.7420833333326</v>
      </c>
      <c r="AU75" s="3">
        <f>47494.14/12</f>
        <v>3957.8449999999998</v>
      </c>
      <c r="AV75" s="3">
        <f>(AU75*AI75)+AU75</f>
        <v>3878.6880999999998</v>
      </c>
      <c r="AW75" s="3">
        <f>AV75+AG75</f>
        <v>5264.6880999999994</v>
      </c>
      <c r="AX75" s="3">
        <f>AV75+AH75</f>
        <v>5626.6880999999994</v>
      </c>
      <c r="AY75" s="3">
        <v>15</v>
      </c>
      <c r="AZ75" s="3">
        <v>90</v>
      </c>
      <c r="BA75" s="3" t="s">
        <v>289</v>
      </c>
      <c r="BB75" s="3" t="s">
        <v>132</v>
      </c>
      <c r="BC75" s="3" t="s">
        <v>303</v>
      </c>
      <c r="BD75" s="3" t="s">
        <v>236</v>
      </c>
      <c r="BE75" s="3" t="s">
        <v>437</v>
      </c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</row>
    <row r="76" spans="1:168" s="4" customFormat="1" x14ac:dyDescent="0.25">
      <c r="A76" s="55" t="s">
        <v>309</v>
      </c>
      <c r="B76" s="17"/>
      <c r="C76" s="12">
        <v>7</v>
      </c>
      <c r="D76" s="15">
        <v>6</v>
      </c>
      <c r="E76" s="15">
        <f>(C76+D76)/2</f>
        <v>6.5</v>
      </c>
      <c r="F76" s="21"/>
      <c r="G76" s="4" t="s">
        <v>306</v>
      </c>
      <c r="H76" s="4" t="s">
        <v>200</v>
      </c>
      <c r="K76" s="4" t="s">
        <v>225</v>
      </c>
      <c r="L76" s="4" t="s">
        <v>201</v>
      </c>
      <c r="M76" s="10">
        <v>3</v>
      </c>
      <c r="N76" s="4" t="s">
        <v>202</v>
      </c>
      <c r="O76" s="15"/>
      <c r="P76" s="15"/>
      <c r="Q76" s="4">
        <v>40</v>
      </c>
      <c r="R76" s="4">
        <v>6</v>
      </c>
      <c r="S76" s="4">
        <v>52</v>
      </c>
      <c r="U76" s="4">
        <v>60</v>
      </c>
      <c r="V76" s="4">
        <v>16</v>
      </c>
      <c r="W76" s="4">
        <v>1</v>
      </c>
      <c r="X76" s="4" t="s">
        <v>299</v>
      </c>
      <c r="Y76" s="4" t="s">
        <v>299</v>
      </c>
      <c r="Z76" s="4" t="s">
        <v>299</v>
      </c>
      <c r="AA76" s="4" t="s">
        <v>299</v>
      </c>
      <c r="AC76" s="4">
        <v>10</v>
      </c>
      <c r="AD76" s="4">
        <v>10</v>
      </c>
      <c r="AK76" s="4" t="s">
        <v>299</v>
      </c>
      <c r="AM76" s="4">
        <v>52166</v>
      </c>
      <c r="AQ76" s="4">
        <v>53185</v>
      </c>
      <c r="AU76" s="4">
        <v>55806</v>
      </c>
      <c r="AY76" s="4">
        <v>15</v>
      </c>
      <c r="AZ76" s="3" t="s">
        <v>455</v>
      </c>
      <c r="BA76" s="4" t="s">
        <v>290</v>
      </c>
      <c r="BB76" s="4" t="s">
        <v>252</v>
      </c>
      <c r="BC76" s="4" t="s">
        <v>136</v>
      </c>
      <c r="BD76" s="4" t="s">
        <v>203</v>
      </c>
    </row>
    <row r="77" spans="1:168" s="4" customFormat="1" x14ac:dyDescent="0.25">
      <c r="A77" s="55" t="s">
        <v>261</v>
      </c>
      <c r="B77" s="17"/>
      <c r="C77" s="12">
        <v>8</v>
      </c>
      <c r="D77" s="15">
        <v>10</v>
      </c>
      <c r="E77" s="15">
        <f>(C77+D77)/2</f>
        <v>9</v>
      </c>
      <c r="F77" s="21"/>
      <c r="G77" s="4" t="s">
        <v>262</v>
      </c>
      <c r="H77" s="4" t="s">
        <v>395</v>
      </c>
      <c r="K77" s="4" t="s">
        <v>225</v>
      </c>
      <c r="L77" s="4" t="s">
        <v>169</v>
      </c>
      <c r="M77" s="10">
        <v>3</v>
      </c>
      <c r="N77" s="4" t="s">
        <v>221</v>
      </c>
      <c r="O77" s="15"/>
      <c r="P77" s="15"/>
      <c r="Q77" s="4">
        <v>11</v>
      </c>
      <c r="R77" s="4">
        <v>0</v>
      </c>
      <c r="S77" s="4">
        <v>55</v>
      </c>
      <c r="U77" s="4">
        <v>64</v>
      </c>
      <c r="V77" s="4">
        <v>16</v>
      </c>
      <c r="W77" s="4">
        <v>1.5</v>
      </c>
      <c r="X77" s="4" t="s">
        <v>299</v>
      </c>
      <c r="Y77" s="4" t="s">
        <v>299</v>
      </c>
      <c r="Z77" s="4" t="s">
        <v>299</v>
      </c>
      <c r="AA77" s="4" t="s">
        <v>299</v>
      </c>
      <c r="AC77" s="4">
        <v>7</v>
      </c>
      <c r="AD77" s="4">
        <v>16</v>
      </c>
      <c r="AK77" s="4">
        <v>49332</v>
      </c>
      <c r="AM77" s="4">
        <v>51041</v>
      </c>
      <c r="AQ77" s="4">
        <v>52661</v>
      </c>
      <c r="AU77" s="4">
        <v>54438</v>
      </c>
      <c r="AY77" s="4">
        <v>15</v>
      </c>
      <c r="AZ77" s="4">
        <v>15</v>
      </c>
      <c r="BA77" s="4" t="s">
        <v>290</v>
      </c>
      <c r="BB77" s="4" t="s">
        <v>132</v>
      </c>
      <c r="BC77" s="4" t="s">
        <v>136</v>
      </c>
      <c r="BD77" s="4" t="s">
        <v>170</v>
      </c>
      <c r="BE77" s="4" t="s">
        <v>145</v>
      </c>
    </row>
    <row r="78" spans="1:168" s="4" customFormat="1" x14ac:dyDescent="0.25">
      <c r="A78" s="55" t="s">
        <v>315</v>
      </c>
      <c r="B78" s="17"/>
      <c r="C78" s="12">
        <v>22</v>
      </c>
      <c r="D78" s="15">
        <v>22</v>
      </c>
      <c r="E78" s="15">
        <f>(C78+D78)/2</f>
        <v>22</v>
      </c>
      <c r="F78" s="21"/>
      <c r="G78" s="4" t="s">
        <v>313</v>
      </c>
      <c r="H78" s="4" t="s">
        <v>69</v>
      </c>
      <c r="K78" s="4" t="s">
        <v>225</v>
      </c>
      <c r="L78" s="4" t="s">
        <v>65</v>
      </c>
      <c r="M78" s="10">
        <v>3</v>
      </c>
      <c r="N78" s="4" t="s">
        <v>82</v>
      </c>
      <c r="O78" s="18">
        <v>41914</v>
      </c>
      <c r="P78" s="18">
        <v>41915</v>
      </c>
      <c r="Q78" s="4">
        <v>25</v>
      </c>
      <c r="R78" s="4">
        <v>4</v>
      </c>
      <c r="S78" s="4">
        <v>70</v>
      </c>
      <c r="U78" s="4">
        <v>60</v>
      </c>
      <c r="V78" s="4">
        <v>16</v>
      </c>
      <c r="W78" s="4">
        <v>2</v>
      </c>
      <c r="X78" s="4" t="s">
        <v>299</v>
      </c>
      <c r="Y78" s="4">
        <v>0.7</v>
      </c>
      <c r="Z78" s="4">
        <v>0.7</v>
      </c>
      <c r="AA78" s="4" t="s">
        <v>299</v>
      </c>
      <c r="AC78" s="4">
        <v>3</v>
      </c>
      <c r="AD78" s="4">
        <v>20</v>
      </c>
      <c r="AK78" s="4">
        <v>47132</v>
      </c>
      <c r="AM78" s="4">
        <v>48431</v>
      </c>
      <c r="AQ78" s="4">
        <v>49989</v>
      </c>
      <c r="AU78" s="4">
        <v>51742</v>
      </c>
      <c r="AY78" s="4">
        <v>10</v>
      </c>
      <c r="AZ78" s="4">
        <v>10</v>
      </c>
      <c r="BA78" s="4" t="s">
        <v>289</v>
      </c>
      <c r="BB78" s="4" t="s">
        <v>84</v>
      </c>
      <c r="BC78" s="4" t="s">
        <v>136</v>
      </c>
      <c r="BD78" s="4" t="s">
        <v>83</v>
      </c>
    </row>
    <row r="79" spans="1:168" s="4" customFormat="1" x14ac:dyDescent="0.25">
      <c r="A79" s="54" t="s">
        <v>314</v>
      </c>
      <c r="B79" s="16">
        <v>32</v>
      </c>
      <c r="C79" s="11">
        <v>24</v>
      </c>
      <c r="D79" s="14">
        <v>23</v>
      </c>
      <c r="E79" s="14">
        <f>AVERAGE(B79:D79)</f>
        <v>26.333333333333332</v>
      </c>
      <c r="F79" s="20"/>
      <c r="G79" s="3" t="s">
        <v>313</v>
      </c>
      <c r="H79" s="3" t="s">
        <v>11</v>
      </c>
      <c r="I79" s="3" t="s">
        <v>39</v>
      </c>
      <c r="J79" s="3" t="s">
        <v>54</v>
      </c>
      <c r="K79" s="3" t="s">
        <v>40</v>
      </c>
      <c r="L79" s="3" t="s">
        <v>206</v>
      </c>
      <c r="M79" s="8">
        <v>3</v>
      </c>
      <c r="N79" s="3" t="s">
        <v>67</v>
      </c>
      <c r="O79" s="19">
        <v>41914</v>
      </c>
      <c r="P79" s="19">
        <v>41923</v>
      </c>
      <c r="Q79" s="3">
        <v>29</v>
      </c>
      <c r="R79" s="3">
        <v>30</v>
      </c>
      <c r="S79" s="3">
        <v>85</v>
      </c>
      <c r="T79" s="3"/>
      <c r="U79" s="3">
        <v>45</v>
      </c>
      <c r="V79" s="3">
        <v>30</v>
      </c>
      <c r="W79" s="3">
        <v>2.5</v>
      </c>
      <c r="X79" s="3">
        <v>0.4</v>
      </c>
      <c r="Y79" s="3">
        <v>0.4</v>
      </c>
      <c r="Z79" s="3" t="s">
        <v>299</v>
      </c>
      <c r="AA79" s="3" t="s">
        <v>299</v>
      </c>
      <c r="AB79" s="3" t="s">
        <v>166</v>
      </c>
      <c r="AC79" s="3">
        <v>4</v>
      </c>
      <c r="AD79" s="3">
        <v>25</v>
      </c>
      <c r="AE79" s="3"/>
      <c r="AF79" s="3" t="s">
        <v>314</v>
      </c>
      <c r="AG79" s="3">
        <v>1749</v>
      </c>
      <c r="AH79" s="3">
        <f>(1648+150)-50</f>
        <v>1748</v>
      </c>
      <c r="AI79" s="22">
        <v>-0.06</v>
      </c>
      <c r="AJ79" s="22">
        <v>0.19</v>
      </c>
      <c r="AK79" s="3"/>
      <c r="AL79" s="3"/>
      <c r="AM79" s="24">
        <f>50588.36/12</f>
        <v>4215.6966666666667</v>
      </c>
      <c r="AN79" s="3">
        <f>(AM79*AI79)+AM79</f>
        <v>3962.7548666666667</v>
      </c>
      <c r="AO79" s="3">
        <f>AN79+AG79</f>
        <v>5711.7548666666662</v>
      </c>
      <c r="AP79" s="3">
        <f>AN79+AG79</f>
        <v>5711.7548666666662</v>
      </c>
      <c r="AQ79" s="3">
        <f>52463.32/12</f>
        <v>4371.9433333333336</v>
      </c>
      <c r="AR79" s="3">
        <f>(AQ79*AI79)+AQ79</f>
        <v>4109.6267333333335</v>
      </c>
      <c r="AS79" s="3">
        <f>AR79+AG79</f>
        <v>5858.6267333333335</v>
      </c>
      <c r="AT79" s="3">
        <f>AR79+AG79</f>
        <v>5858.6267333333335</v>
      </c>
      <c r="AU79" s="3">
        <f>54377.74/12</f>
        <v>4531.4783333333335</v>
      </c>
      <c r="AV79" s="3">
        <f>(AU79*AI79)+AU79</f>
        <v>4259.589633333333</v>
      </c>
      <c r="AW79" s="3">
        <f>AV79+AG79</f>
        <v>6008.589633333333</v>
      </c>
      <c r="AX79" s="3">
        <f>AV79+AG79</f>
        <v>6008.589633333333</v>
      </c>
      <c r="AY79" s="3">
        <v>15</v>
      </c>
      <c r="AZ79" s="3">
        <v>10</v>
      </c>
      <c r="BA79" s="3" t="s">
        <v>290</v>
      </c>
      <c r="BB79" s="3" t="s">
        <v>132</v>
      </c>
      <c r="BC79" s="3" t="s">
        <v>136</v>
      </c>
      <c r="BD79" s="3" t="s">
        <v>68</v>
      </c>
      <c r="BE79" s="3" t="s">
        <v>435</v>
      </c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</row>
    <row r="80" spans="1:168" s="4" customFormat="1" x14ac:dyDescent="0.25">
      <c r="A80" s="55" t="s">
        <v>238</v>
      </c>
      <c r="B80" s="17"/>
      <c r="C80" s="12">
        <v>28</v>
      </c>
      <c r="D80" s="15">
        <v>28</v>
      </c>
      <c r="E80" s="15">
        <f t="shared" ref="E80:E99" si="7">(C80+D80)/2</f>
        <v>28</v>
      </c>
      <c r="F80" s="21"/>
      <c r="G80" s="4" t="s">
        <v>223</v>
      </c>
      <c r="H80" s="4" t="s">
        <v>219</v>
      </c>
      <c r="K80" s="4" t="s">
        <v>225</v>
      </c>
      <c r="L80" s="4" t="s">
        <v>410</v>
      </c>
      <c r="M80" s="10"/>
      <c r="O80" s="15"/>
      <c r="P80" s="15"/>
      <c r="AY80" s="4">
        <v>24</v>
      </c>
      <c r="AZ80" s="4">
        <v>12</v>
      </c>
      <c r="BB80" s="4" t="s">
        <v>89</v>
      </c>
      <c r="BC80" s="3" t="s">
        <v>457</v>
      </c>
      <c r="BE80" s="4" t="s">
        <v>90</v>
      </c>
    </row>
    <row r="81" spans="1:57" s="4" customFormat="1" x14ac:dyDescent="0.25">
      <c r="A81" s="55" t="s">
        <v>304</v>
      </c>
      <c r="B81" s="17"/>
      <c r="C81" s="12">
        <v>29</v>
      </c>
      <c r="D81" s="15">
        <v>32</v>
      </c>
      <c r="E81" s="15">
        <f t="shared" si="7"/>
        <v>30.5</v>
      </c>
      <c r="F81" s="21"/>
      <c r="G81" s="4" t="s">
        <v>262</v>
      </c>
      <c r="H81" s="4" t="s">
        <v>191</v>
      </c>
      <c r="K81" s="4" t="s">
        <v>225</v>
      </c>
      <c r="L81" s="4" t="s">
        <v>192</v>
      </c>
      <c r="M81" s="10">
        <v>3</v>
      </c>
      <c r="N81" s="4" t="s">
        <v>193</v>
      </c>
      <c r="O81" s="15"/>
      <c r="P81" s="15"/>
      <c r="Q81" s="4">
        <v>22</v>
      </c>
      <c r="R81" s="4">
        <v>43</v>
      </c>
      <c r="S81" s="4">
        <v>71</v>
      </c>
      <c r="U81" s="4">
        <v>55</v>
      </c>
      <c r="V81" s="4">
        <v>16</v>
      </c>
      <c r="W81" s="4">
        <v>1.7</v>
      </c>
      <c r="X81" s="4">
        <v>1.7</v>
      </c>
      <c r="Y81" s="4">
        <v>1</v>
      </c>
      <c r="Z81" s="4">
        <v>0.4</v>
      </c>
      <c r="AA81" s="4" t="s">
        <v>299</v>
      </c>
      <c r="AC81" s="4">
        <v>6</v>
      </c>
      <c r="AD81" s="4">
        <v>20</v>
      </c>
      <c r="AK81" s="4">
        <v>49816</v>
      </c>
      <c r="AM81" s="4">
        <v>51542</v>
      </c>
      <c r="AQ81" s="4">
        <v>53206</v>
      </c>
      <c r="AU81" s="4">
        <v>55348</v>
      </c>
      <c r="AY81" s="4">
        <v>20</v>
      </c>
      <c r="AZ81" s="4">
        <v>10</v>
      </c>
      <c r="BA81" s="4" t="s">
        <v>289</v>
      </c>
      <c r="BB81" s="4" t="s">
        <v>132</v>
      </c>
      <c r="BC81" s="4" t="s">
        <v>303</v>
      </c>
      <c r="BD81" s="4" t="s">
        <v>194</v>
      </c>
      <c r="BE81" s="4" t="s">
        <v>144</v>
      </c>
    </row>
    <row r="82" spans="1:57" s="4" customFormat="1" x14ac:dyDescent="0.25">
      <c r="A82" s="55" t="s">
        <v>130</v>
      </c>
      <c r="B82" s="17"/>
      <c r="C82" s="12">
        <v>31</v>
      </c>
      <c r="D82" s="15">
        <v>34</v>
      </c>
      <c r="E82" s="15">
        <f t="shared" si="7"/>
        <v>32.5</v>
      </c>
      <c r="F82" s="21"/>
      <c r="G82" s="4" t="s">
        <v>351</v>
      </c>
      <c r="H82" s="4" t="s">
        <v>297</v>
      </c>
      <c r="K82" s="4" t="s">
        <v>225</v>
      </c>
      <c r="M82" s="10"/>
      <c r="O82" s="15"/>
      <c r="P82" s="15"/>
      <c r="AY82" s="4">
        <v>21</v>
      </c>
      <c r="AZ82" s="4" t="s">
        <v>299</v>
      </c>
      <c r="BB82" s="4" t="s">
        <v>78</v>
      </c>
      <c r="BC82" s="4" t="s">
        <v>73</v>
      </c>
      <c r="BD82" s="4" t="s">
        <v>94</v>
      </c>
    </row>
    <row r="83" spans="1:57" s="4" customFormat="1" x14ac:dyDescent="0.25">
      <c r="A83" s="55" t="s">
        <v>308</v>
      </c>
      <c r="B83" s="17"/>
      <c r="C83" s="12">
        <v>34</v>
      </c>
      <c r="D83" s="15">
        <v>31</v>
      </c>
      <c r="E83" s="15">
        <f t="shared" si="7"/>
        <v>32.5</v>
      </c>
      <c r="F83" s="21"/>
      <c r="G83" s="4" t="s">
        <v>306</v>
      </c>
      <c r="H83" s="4" t="s">
        <v>195</v>
      </c>
      <c r="K83" s="4" t="s">
        <v>225</v>
      </c>
      <c r="L83" s="4" t="s">
        <v>199</v>
      </c>
      <c r="M83" s="10">
        <v>3</v>
      </c>
      <c r="N83" s="4" t="s">
        <v>299</v>
      </c>
      <c r="O83" s="15"/>
      <c r="P83" s="15"/>
      <c r="Q83" s="4">
        <v>15</v>
      </c>
      <c r="R83" s="4">
        <v>16</v>
      </c>
      <c r="S83" s="4">
        <v>70</v>
      </c>
      <c r="U83" s="4" t="s">
        <v>299</v>
      </c>
      <c r="V83" s="4" t="s">
        <v>299</v>
      </c>
      <c r="W83" s="4" t="s">
        <v>299</v>
      </c>
      <c r="X83" s="4" t="s">
        <v>299</v>
      </c>
      <c r="Y83" s="4" t="s">
        <v>299</v>
      </c>
      <c r="Z83" s="4" t="s">
        <v>299</v>
      </c>
      <c r="AA83" s="4" t="s">
        <v>299</v>
      </c>
      <c r="AC83" s="4">
        <v>4</v>
      </c>
      <c r="AD83" s="4" t="s">
        <v>299</v>
      </c>
      <c r="AK83" s="4">
        <v>51084</v>
      </c>
      <c r="AM83" s="4">
        <v>52478</v>
      </c>
      <c r="AQ83" s="4">
        <v>54059</v>
      </c>
      <c r="AU83" s="4">
        <v>57116</v>
      </c>
      <c r="AY83" s="4">
        <v>10</v>
      </c>
      <c r="AZ83" s="4">
        <v>3</v>
      </c>
      <c r="BA83" s="4" t="s">
        <v>289</v>
      </c>
      <c r="BB83" s="4" t="s">
        <v>132</v>
      </c>
      <c r="BC83" s="4" t="s">
        <v>136</v>
      </c>
    </row>
    <row r="84" spans="1:57" s="4" customFormat="1" x14ac:dyDescent="0.25">
      <c r="A84" s="55" t="s">
        <v>317</v>
      </c>
      <c r="B84" s="17"/>
      <c r="C84" s="12">
        <v>43</v>
      </c>
      <c r="D84" s="15">
        <v>38</v>
      </c>
      <c r="E84" s="15">
        <f t="shared" si="7"/>
        <v>40.5</v>
      </c>
      <c r="F84" s="21"/>
      <c r="G84" s="4" t="s">
        <v>318</v>
      </c>
      <c r="H84" s="4" t="s">
        <v>209</v>
      </c>
      <c r="K84" s="4" t="s">
        <v>225</v>
      </c>
      <c r="L84" s="4" t="s">
        <v>210</v>
      </c>
      <c r="M84" s="10">
        <v>3</v>
      </c>
      <c r="N84" s="4" t="s">
        <v>211</v>
      </c>
      <c r="O84" s="18">
        <v>41933</v>
      </c>
      <c r="P84" s="18">
        <v>41944</v>
      </c>
      <c r="Q84" s="4">
        <v>24</v>
      </c>
      <c r="R84" s="4">
        <v>0</v>
      </c>
      <c r="S84" s="4">
        <v>77</v>
      </c>
      <c r="U84" s="4">
        <v>58</v>
      </c>
      <c r="V84" s="4">
        <v>16</v>
      </c>
      <c r="W84" s="4">
        <v>1.2</v>
      </c>
      <c r="X84" s="4" t="s">
        <v>299</v>
      </c>
      <c r="Y84" s="4" t="s">
        <v>299</v>
      </c>
      <c r="Z84" s="4" t="s">
        <v>299</v>
      </c>
      <c r="AA84" s="4" t="s">
        <v>299</v>
      </c>
      <c r="AC84" s="4">
        <v>10</v>
      </c>
      <c r="AD84" s="4">
        <v>40</v>
      </c>
      <c r="AK84" s="4">
        <v>51286</v>
      </c>
      <c r="AM84" s="4">
        <v>53117</v>
      </c>
      <c r="AQ84" s="4">
        <v>55163</v>
      </c>
      <c r="AU84" s="4">
        <v>57796</v>
      </c>
      <c r="AY84" s="4">
        <v>15</v>
      </c>
      <c r="AZ84" s="4">
        <v>12</v>
      </c>
      <c r="BA84" s="4" t="s">
        <v>290</v>
      </c>
      <c r="BB84" s="4" t="s">
        <v>132</v>
      </c>
      <c r="BC84" s="4" t="s">
        <v>136</v>
      </c>
      <c r="BD84" s="4" t="s">
        <v>212</v>
      </c>
    </row>
    <row r="85" spans="1:57" s="4" customFormat="1" x14ac:dyDescent="0.25">
      <c r="A85" s="55" t="s">
        <v>260</v>
      </c>
      <c r="B85" s="17"/>
      <c r="C85" s="12">
        <v>39</v>
      </c>
      <c r="D85" s="15">
        <v>43</v>
      </c>
      <c r="E85" s="15">
        <f t="shared" si="7"/>
        <v>41</v>
      </c>
      <c r="F85" s="21"/>
      <c r="G85" s="4" t="s">
        <v>258</v>
      </c>
      <c r="H85" s="4" t="s">
        <v>394</v>
      </c>
      <c r="K85" s="4" t="s">
        <v>225</v>
      </c>
      <c r="M85" s="10"/>
      <c r="O85" s="18">
        <v>41930</v>
      </c>
      <c r="P85" s="18">
        <v>41921</v>
      </c>
    </row>
    <row r="86" spans="1:57" s="4" customFormat="1" x14ac:dyDescent="0.25">
      <c r="A86" s="55" t="s">
        <v>369</v>
      </c>
      <c r="B86" s="17"/>
      <c r="C86" s="12">
        <v>50</v>
      </c>
      <c r="D86" s="15">
        <v>42</v>
      </c>
      <c r="E86" s="15">
        <f t="shared" si="7"/>
        <v>46</v>
      </c>
      <c r="F86" s="21"/>
      <c r="G86" s="4" t="s">
        <v>351</v>
      </c>
      <c r="H86" s="4" t="s">
        <v>74</v>
      </c>
      <c r="K86" s="4" t="s">
        <v>292</v>
      </c>
      <c r="L86" s="4" t="s">
        <v>75</v>
      </c>
      <c r="M86" s="10">
        <v>3</v>
      </c>
      <c r="O86" s="15"/>
      <c r="P86" s="15"/>
      <c r="Q86" s="4">
        <v>57</v>
      </c>
      <c r="R86" s="4">
        <v>0</v>
      </c>
      <c r="S86" s="4">
        <v>71</v>
      </c>
      <c r="U86" s="4">
        <v>45</v>
      </c>
      <c r="V86" s="4">
        <v>12</v>
      </c>
      <c r="W86" s="4">
        <v>2</v>
      </c>
      <c r="X86" s="4" t="s">
        <v>299</v>
      </c>
      <c r="Y86" s="4" t="s">
        <v>299</v>
      </c>
      <c r="Z86" s="4" t="s">
        <v>299</v>
      </c>
      <c r="AA86" s="4" t="s">
        <v>299</v>
      </c>
      <c r="AC86" s="4">
        <v>5</v>
      </c>
      <c r="AD86" s="4">
        <v>30</v>
      </c>
      <c r="AK86" s="4">
        <v>49920</v>
      </c>
      <c r="AM86" s="4">
        <v>50960</v>
      </c>
      <c r="AQ86" s="4">
        <v>53040</v>
      </c>
      <c r="AU86" s="4" t="s">
        <v>299</v>
      </c>
      <c r="AY86" s="4">
        <v>15</v>
      </c>
      <c r="AZ86" s="4">
        <v>12</v>
      </c>
      <c r="BA86" s="4" t="s">
        <v>302</v>
      </c>
      <c r="BB86" s="4" t="s">
        <v>78</v>
      </c>
      <c r="BC86" s="4" t="s">
        <v>79</v>
      </c>
      <c r="BD86" s="4" t="s">
        <v>76</v>
      </c>
      <c r="BE86" s="4" t="s">
        <v>144</v>
      </c>
    </row>
    <row r="87" spans="1:57" s="4" customFormat="1" x14ac:dyDescent="0.25">
      <c r="A87" s="55" t="s">
        <v>373</v>
      </c>
      <c r="B87" s="17"/>
      <c r="C87" s="12">
        <v>45</v>
      </c>
      <c r="D87" s="15">
        <v>51</v>
      </c>
      <c r="E87" s="15">
        <f t="shared" si="7"/>
        <v>48</v>
      </c>
      <c r="F87" s="21"/>
      <c r="G87" s="4" t="s">
        <v>354</v>
      </c>
      <c r="H87" s="4" t="s">
        <v>340</v>
      </c>
      <c r="K87" s="4" t="s">
        <v>225</v>
      </c>
      <c r="M87" s="10"/>
      <c r="O87" s="18">
        <v>41919</v>
      </c>
      <c r="P87" s="18">
        <v>41918</v>
      </c>
      <c r="AK87" s="4">
        <v>48200</v>
      </c>
      <c r="AM87" s="4">
        <v>49500</v>
      </c>
      <c r="AQ87" s="4">
        <v>51100</v>
      </c>
      <c r="AU87" s="4">
        <v>52900</v>
      </c>
      <c r="AY87" s="4">
        <v>21</v>
      </c>
      <c r="AZ87" s="4" t="s">
        <v>299</v>
      </c>
      <c r="BB87" s="4" t="s">
        <v>78</v>
      </c>
      <c r="BC87" s="4" t="s">
        <v>57</v>
      </c>
      <c r="BD87" s="4" t="s">
        <v>96</v>
      </c>
    </row>
    <row r="88" spans="1:57" s="4" customFormat="1" x14ac:dyDescent="0.25">
      <c r="A88" s="55" t="s">
        <v>374</v>
      </c>
      <c r="B88" s="17"/>
      <c r="C88" s="12">
        <v>58</v>
      </c>
      <c r="D88" s="15">
        <v>41</v>
      </c>
      <c r="E88" s="15">
        <f t="shared" si="7"/>
        <v>49.5</v>
      </c>
      <c r="F88" s="21"/>
      <c r="G88" s="4" t="s">
        <v>174</v>
      </c>
      <c r="H88" s="4" t="s">
        <v>218</v>
      </c>
      <c r="K88" s="4" t="s">
        <v>225</v>
      </c>
      <c r="L88" s="4" t="s">
        <v>97</v>
      </c>
      <c r="M88" s="10">
        <v>3</v>
      </c>
      <c r="O88" s="18">
        <v>41898</v>
      </c>
      <c r="P88" s="18">
        <v>41902</v>
      </c>
      <c r="Q88" s="4">
        <v>20</v>
      </c>
      <c r="BE88" s="4" t="s">
        <v>143</v>
      </c>
    </row>
    <row r="89" spans="1:57" s="4" customFormat="1" x14ac:dyDescent="0.25">
      <c r="A89" s="55" t="s">
        <v>240</v>
      </c>
      <c r="B89" s="17"/>
      <c r="C89" s="12">
        <v>55</v>
      </c>
      <c r="D89" s="15">
        <v>47</v>
      </c>
      <c r="E89" s="15">
        <f t="shared" si="7"/>
        <v>51</v>
      </c>
      <c r="F89" s="21"/>
      <c r="G89" s="4" t="s">
        <v>176</v>
      </c>
      <c r="H89" s="4" t="s">
        <v>345</v>
      </c>
      <c r="K89" s="4" t="s">
        <v>225</v>
      </c>
      <c r="L89" s="4" t="s">
        <v>44</v>
      </c>
      <c r="M89" s="10">
        <v>3</v>
      </c>
      <c r="N89" s="4" t="s">
        <v>58</v>
      </c>
      <c r="O89" s="18">
        <v>41923</v>
      </c>
      <c r="P89" s="18">
        <v>41935</v>
      </c>
      <c r="AC89" s="4">
        <v>6</v>
      </c>
      <c r="BD89" s="4" t="s">
        <v>459</v>
      </c>
    </row>
    <row r="90" spans="1:57" s="4" customFormat="1" x14ac:dyDescent="0.25">
      <c r="A90" s="55" t="s">
        <v>13</v>
      </c>
      <c r="B90" s="17"/>
      <c r="C90" s="12">
        <v>57</v>
      </c>
      <c r="D90" s="15">
        <v>49</v>
      </c>
      <c r="E90" s="15">
        <f t="shared" si="7"/>
        <v>53</v>
      </c>
      <c r="F90" s="21"/>
      <c r="G90" s="4" t="s">
        <v>226</v>
      </c>
      <c r="H90" s="4" t="s">
        <v>291</v>
      </c>
      <c r="K90" s="4" t="s">
        <v>292</v>
      </c>
      <c r="L90" s="4" t="s">
        <v>148</v>
      </c>
      <c r="M90" s="10">
        <v>3</v>
      </c>
      <c r="O90" s="15"/>
      <c r="P90" s="14" t="s">
        <v>239</v>
      </c>
      <c r="Q90" s="4">
        <v>77</v>
      </c>
      <c r="AC90" s="4">
        <v>4.5</v>
      </c>
      <c r="AY90" s="4">
        <v>21</v>
      </c>
      <c r="AZ90" s="4">
        <v>9</v>
      </c>
      <c r="BB90" s="4" t="s">
        <v>78</v>
      </c>
      <c r="BE90" s="4" t="s">
        <v>155</v>
      </c>
    </row>
    <row r="91" spans="1:57" s="4" customFormat="1" x14ac:dyDescent="0.25">
      <c r="A91" s="55" t="s">
        <v>163</v>
      </c>
      <c r="B91" s="17"/>
      <c r="C91" s="12">
        <v>49</v>
      </c>
      <c r="D91" s="15">
        <v>62</v>
      </c>
      <c r="E91" s="15">
        <f t="shared" si="7"/>
        <v>55.5</v>
      </c>
      <c r="F91" s="21"/>
      <c r="G91" s="4" t="s">
        <v>262</v>
      </c>
      <c r="H91" s="4" t="s">
        <v>189</v>
      </c>
      <c r="K91" s="4" t="s">
        <v>225</v>
      </c>
      <c r="L91" s="4" t="s">
        <v>148</v>
      </c>
      <c r="M91" s="10">
        <v>3</v>
      </c>
      <c r="N91" s="4" t="s">
        <v>190</v>
      </c>
      <c r="O91" s="18">
        <v>41909</v>
      </c>
      <c r="P91" s="18">
        <v>41907</v>
      </c>
      <c r="Q91" s="4">
        <v>50</v>
      </c>
      <c r="R91" s="4">
        <v>12</v>
      </c>
      <c r="S91" s="4">
        <v>33</v>
      </c>
      <c r="U91" s="4">
        <v>50</v>
      </c>
      <c r="V91" s="4">
        <v>30</v>
      </c>
      <c r="W91" s="4">
        <v>1.2</v>
      </c>
      <c r="X91" s="4" t="s">
        <v>299</v>
      </c>
      <c r="Y91" s="4" t="s">
        <v>299</v>
      </c>
      <c r="Z91" s="4" t="s">
        <v>299</v>
      </c>
      <c r="AA91" s="4" t="s">
        <v>299</v>
      </c>
      <c r="AC91" s="4">
        <v>5</v>
      </c>
      <c r="AD91" s="4">
        <v>33</v>
      </c>
      <c r="AK91" s="4">
        <v>49646</v>
      </c>
      <c r="AM91" s="4">
        <v>50846</v>
      </c>
      <c r="AQ91" s="4">
        <v>52046</v>
      </c>
      <c r="AU91" s="4">
        <v>53846</v>
      </c>
      <c r="AY91" s="4">
        <v>20</v>
      </c>
      <c r="AZ91" s="4">
        <v>5</v>
      </c>
      <c r="BA91" s="4" t="s">
        <v>289</v>
      </c>
      <c r="BB91" s="4" t="s">
        <v>132</v>
      </c>
      <c r="BC91" s="4" t="s">
        <v>136</v>
      </c>
      <c r="BE91" s="4" t="s">
        <v>145</v>
      </c>
    </row>
    <row r="92" spans="1:57" s="4" customFormat="1" x14ac:dyDescent="0.25">
      <c r="A92" s="55" t="s">
        <v>153</v>
      </c>
      <c r="B92" s="17"/>
      <c r="C92" s="12">
        <v>51</v>
      </c>
      <c r="D92" s="15">
        <v>65</v>
      </c>
      <c r="E92" s="15">
        <f t="shared" si="7"/>
        <v>58</v>
      </c>
      <c r="F92" s="21"/>
      <c r="G92" s="4" t="s">
        <v>59</v>
      </c>
      <c r="H92" s="4" t="s">
        <v>133</v>
      </c>
      <c r="K92" s="4" t="s">
        <v>225</v>
      </c>
      <c r="L92" s="4" t="s">
        <v>134</v>
      </c>
      <c r="M92" s="10">
        <v>3</v>
      </c>
      <c r="N92" s="4" t="s">
        <v>135</v>
      </c>
      <c r="O92" s="15"/>
      <c r="P92" s="15"/>
      <c r="Q92" s="4">
        <v>11</v>
      </c>
      <c r="R92" s="4">
        <v>66</v>
      </c>
      <c r="S92" s="4">
        <v>48</v>
      </c>
      <c r="U92" s="4">
        <v>60</v>
      </c>
      <c r="V92" s="4">
        <v>16</v>
      </c>
      <c r="W92" s="4">
        <v>1</v>
      </c>
      <c r="X92" s="4" t="s">
        <v>299</v>
      </c>
      <c r="Y92" s="4" t="s">
        <v>299</v>
      </c>
      <c r="Z92" s="4" t="s">
        <v>299</v>
      </c>
      <c r="AA92" s="4" t="s">
        <v>299</v>
      </c>
      <c r="AC92" s="4">
        <v>5</v>
      </c>
      <c r="AD92" s="4" t="s">
        <v>299</v>
      </c>
      <c r="AK92" s="4" t="s">
        <v>299</v>
      </c>
      <c r="AM92" s="4" t="s">
        <v>299</v>
      </c>
      <c r="AQ92" s="4" t="s">
        <v>299</v>
      </c>
      <c r="AU92" s="4" t="s">
        <v>299</v>
      </c>
      <c r="AY92" s="4">
        <v>15</v>
      </c>
      <c r="AZ92" s="4">
        <v>15</v>
      </c>
      <c r="BA92" s="4" t="s">
        <v>290</v>
      </c>
      <c r="BB92" s="4" t="s">
        <v>132</v>
      </c>
      <c r="BC92" s="4" t="s">
        <v>136</v>
      </c>
    </row>
    <row r="93" spans="1:57" s="4" customFormat="1" x14ac:dyDescent="0.25">
      <c r="A93" s="55" t="s">
        <v>404</v>
      </c>
      <c r="B93" s="17"/>
      <c r="C93" s="12">
        <v>65</v>
      </c>
      <c r="D93" s="15">
        <v>53</v>
      </c>
      <c r="E93" s="15">
        <f t="shared" si="7"/>
        <v>59</v>
      </c>
      <c r="F93" s="21"/>
      <c r="G93" s="4" t="s">
        <v>403</v>
      </c>
      <c r="H93" s="4" t="s">
        <v>147</v>
      </c>
      <c r="K93" s="4" t="s">
        <v>225</v>
      </c>
      <c r="L93" s="4" t="s">
        <v>148</v>
      </c>
      <c r="M93" s="10">
        <v>3</v>
      </c>
      <c r="N93" s="4" t="s">
        <v>63</v>
      </c>
      <c r="O93" s="15"/>
      <c r="P93" s="18">
        <v>41907</v>
      </c>
      <c r="Q93" s="4" t="s">
        <v>299</v>
      </c>
      <c r="R93" s="4" t="s">
        <v>299</v>
      </c>
      <c r="S93" s="4" t="s">
        <v>299</v>
      </c>
      <c r="U93" s="4">
        <v>50</v>
      </c>
      <c r="V93" s="4">
        <v>27</v>
      </c>
      <c r="W93" s="4">
        <v>1</v>
      </c>
      <c r="X93" s="4" t="s">
        <v>299</v>
      </c>
      <c r="Y93" s="4" t="s">
        <v>299</v>
      </c>
      <c r="Z93" s="4" t="s">
        <v>299</v>
      </c>
      <c r="AA93" s="4" t="s">
        <v>299</v>
      </c>
      <c r="AC93" s="4">
        <v>4</v>
      </c>
      <c r="AD93" s="4" t="s">
        <v>299</v>
      </c>
      <c r="AK93" s="4">
        <v>54627</v>
      </c>
      <c r="AM93" s="4">
        <v>55137</v>
      </c>
      <c r="AQ93" s="4">
        <v>55647</v>
      </c>
      <c r="AU93" s="4" t="s">
        <v>299</v>
      </c>
      <c r="AY93" s="4">
        <v>15</v>
      </c>
      <c r="AZ93" s="3" t="s">
        <v>455</v>
      </c>
      <c r="BA93" s="4" t="s">
        <v>290</v>
      </c>
      <c r="BB93" s="4" t="s">
        <v>19</v>
      </c>
      <c r="BC93" s="4" t="s">
        <v>136</v>
      </c>
      <c r="BD93" s="4" t="s">
        <v>18</v>
      </c>
    </row>
    <row r="94" spans="1:57" s="4" customFormat="1" x14ac:dyDescent="0.25">
      <c r="A94" s="55" t="s">
        <v>237</v>
      </c>
      <c r="B94" s="17"/>
      <c r="C94" s="12">
        <v>53</v>
      </c>
      <c r="D94" s="15">
        <v>68</v>
      </c>
      <c r="E94" s="15">
        <f t="shared" si="7"/>
        <v>60.5</v>
      </c>
      <c r="F94" s="21"/>
      <c r="G94" s="4" t="s">
        <v>222</v>
      </c>
      <c r="H94" s="4" t="s">
        <v>281</v>
      </c>
      <c r="K94" s="4" t="s">
        <v>225</v>
      </c>
      <c r="L94" s="4" t="s">
        <v>87</v>
      </c>
      <c r="M94" s="10"/>
      <c r="O94" s="18">
        <v>41936</v>
      </c>
      <c r="P94" s="18">
        <v>41934</v>
      </c>
      <c r="Q94" s="4">
        <v>31</v>
      </c>
      <c r="R94" s="4">
        <v>21</v>
      </c>
      <c r="S94" s="4">
        <v>36</v>
      </c>
    </row>
    <row r="95" spans="1:57" s="4" customFormat="1" x14ac:dyDescent="0.25">
      <c r="A95" s="55" t="s">
        <v>122</v>
      </c>
      <c r="B95" s="17"/>
      <c r="C95" s="12">
        <v>62</v>
      </c>
      <c r="D95" s="15">
        <v>59</v>
      </c>
      <c r="E95" s="15">
        <f t="shared" si="7"/>
        <v>60.5</v>
      </c>
      <c r="F95" s="21"/>
      <c r="G95" s="4" t="s">
        <v>223</v>
      </c>
      <c r="H95" s="4" t="s">
        <v>111</v>
      </c>
      <c r="K95" s="4" t="s">
        <v>225</v>
      </c>
      <c r="L95" s="4" t="s">
        <v>112</v>
      </c>
      <c r="M95" s="10">
        <v>3</v>
      </c>
      <c r="N95" s="4" t="s">
        <v>113</v>
      </c>
      <c r="O95" s="18">
        <v>41944</v>
      </c>
      <c r="P95" s="18">
        <v>41949</v>
      </c>
      <c r="Q95" s="4">
        <v>6</v>
      </c>
      <c r="R95" s="4">
        <v>18</v>
      </c>
      <c r="S95" s="4">
        <v>46</v>
      </c>
      <c r="U95" s="4">
        <v>60</v>
      </c>
      <c r="V95" s="4">
        <v>16</v>
      </c>
      <c r="W95" s="4">
        <v>1</v>
      </c>
      <c r="X95" s="4">
        <v>2</v>
      </c>
      <c r="Y95" s="4">
        <v>0.5</v>
      </c>
      <c r="Z95" s="4">
        <v>0.5</v>
      </c>
      <c r="AA95" s="4">
        <v>0.5</v>
      </c>
      <c r="AC95" s="4">
        <v>4</v>
      </c>
      <c r="AD95" s="4" t="s">
        <v>299</v>
      </c>
      <c r="AK95" s="4">
        <v>48006</v>
      </c>
      <c r="AM95" s="4">
        <v>50003</v>
      </c>
      <c r="AQ95" s="4">
        <v>52000</v>
      </c>
      <c r="AU95" s="4">
        <v>53996</v>
      </c>
      <c r="AY95" s="4">
        <v>20</v>
      </c>
      <c r="AZ95" s="4">
        <v>10</v>
      </c>
      <c r="BA95" s="4" t="s">
        <v>72</v>
      </c>
      <c r="BB95" s="4" t="s">
        <v>335</v>
      </c>
      <c r="BC95" s="4" t="s">
        <v>73</v>
      </c>
      <c r="BD95" s="4" t="s">
        <v>0</v>
      </c>
      <c r="BE95" s="4" t="s">
        <v>143</v>
      </c>
    </row>
    <row r="96" spans="1:57" s="4" customFormat="1" x14ac:dyDescent="0.25">
      <c r="A96" s="55" t="s">
        <v>320</v>
      </c>
      <c r="B96" s="17"/>
      <c r="C96" s="12">
        <v>72</v>
      </c>
      <c r="D96" s="15">
        <v>52</v>
      </c>
      <c r="E96" s="15">
        <f t="shared" si="7"/>
        <v>62</v>
      </c>
      <c r="F96" s="21"/>
      <c r="G96" s="4" t="s">
        <v>319</v>
      </c>
      <c r="H96" s="4" t="s">
        <v>119</v>
      </c>
      <c r="K96" s="4" t="s">
        <v>225</v>
      </c>
      <c r="L96" s="4" t="s">
        <v>120</v>
      </c>
      <c r="M96" s="10">
        <v>3</v>
      </c>
      <c r="N96" s="4" t="s">
        <v>228</v>
      </c>
      <c r="O96" s="14" t="s">
        <v>16</v>
      </c>
      <c r="P96" s="14"/>
      <c r="Q96" s="4">
        <v>9</v>
      </c>
      <c r="R96" s="4">
        <v>0</v>
      </c>
      <c r="S96" s="4">
        <v>59</v>
      </c>
      <c r="U96" s="4">
        <v>62</v>
      </c>
      <c r="V96" s="4">
        <v>16</v>
      </c>
      <c r="W96" s="4">
        <v>1</v>
      </c>
      <c r="X96" s="4" t="s">
        <v>299</v>
      </c>
      <c r="Y96" s="4" t="s">
        <v>299</v>
      </c>
      <c r="Z96" s="4" t="s">
        <v>299</v>
      </c>
      <c r="AA96" s="4" t="s">
        <v>299</v>
      </c>
      <c r="AC96" s="4">
        <v>5</v>
      </c>
      <c r="AD96" s="4">
        <v>20</v>
      </c>
      <c r="AK96" s="4">
        <v>50500</v>
      </c>
      <c r="AM96" s="4">
        <v>51500</v>
      </c>
      <c r="AQ96" s="4">
        <v>53700</v>
      </c>
      <c r="AU96" s="4">
        <v>57450</v>
      </c>
      <c r="AY96" s="4">
        <v>15</v>
      </c>
      <c r="AZ96" s="4">
        <v>14</v>
      </c>
      <c r="BA96" s="4" t="s">
        <v>290</v>
      </c>
      <c r="BB96" s="4" t="s">
        <v>252</v>
      </c>
      <c r="BC96" s="4" t="s">
        <v>136</v>
      </c>
    </row>
    <row r="97" spans="1:168" s="4" customFormat="1" x14ac:dyDescent="0.25">
      <c r="A97" s="55" t="s">
        <v>376</v>
      </c>
      <c r="B97" s="17"/>
      <c r="C97" s="12">
        <v>69</v>
      </c>
      <c r="D97" s="15">
        <v>58</v>
      </c>
      <c r="E97" s="15">
        <f t="shared" si="7"/>
        <v>63.5</v>
      </c>
      <c r="F97" s="21"/>
      <c r="G97" s="4" t="s">
        <v>176</v>
      </c>
      <c r="H97" s="4" t="s">
        <v>341</v>
      </c>
      <c r="K97" s="4" t="s">
        <v>225</v>
      </c>
      <c r="L97" s="4" t="s">
        <v>342</v>
      </c>
      <c r="M97" s="10">
        <v>3</v>
      </c>
      <c r="N97" s="4" t="s">
        <v>343</v>
      </c>
      <c r="O97" s="18">
        <v>41920</v>
      </c>
      <c r="P97" s="18">
        <v>41910</v>
      </c>
      <c r="Q97" s="4">
        <v>27</v>
      </c>
      <c r="R97" s="4">
        <v>23</v>
      </c>
      <c r="S97" s="4">
        <v>87</v>
      </c>
      <c r="U97" s="4">
        <v>45</v>
      </c>
      <c r="V97" s="4">
        <v>16</v>
      </c>
      <c r="W97" s="4">
        <v>2</v>
      </c>
      <c r="X97" s="4" t="s">
        <v>299</v>
      </c>
      <c r="Y97" s="4" t="s">
        <v>299</v>
      </c>
      <c r="Z97" s="4" t="s">
        <v>299</v>
      </c>
      <c r="AA97" s="4" t="s">
        <v>299</v>
      </c>
      <c r="AC97" s="4">
        <v>5</v>
      </c>
      <c r="AD97" s="4">
        <v>10</v>
      </c>
      <c r="AK97" s="4">
        <v>47589</v>
      </c>
      <c r="AM97" s="4">
        <v>49131</v>
      </c>
      <c r="AQ97" s="4">
        <v>50676</v>
      </c>
      <c r="AU97" s="4">
        <v>52015</v>
      </c>
      <c r="AY97" s="4">
        <v>15</v>
      </c>
      <c r="AZ97" s="4">
        <v>5</v>
      </c>
      <c r="BA97" s="4" t="s">
        <v>72</v>
      </c>
      <c r="BB97" s="4" t="s">
        <v>335</v>
      </c>
      <c r="BC97" s="4" t="s">
        <v>73</v>
      </c>
      <c r="BD97" s="4" t="s">
        <v>344</v>
      </c>
    </row>
    <row r="98" spans="1:168" s="4" customFormat="1" x14ac:dyDescent="0.25">
      <c r="A98" s="55" t="s">
        <v>53</v>
      </c>
      <c r="B98" s="17"/>
      <c r="C98" s="12">
        <v>68</v>
      </c>
      <c r="D98" s="15">
        <v>64</v>
      </c>
      <c r="E98" s="15">
        <f t="shared" si="7"/>
        <v>66</v>
      </c>
      <c r="F98" s="21"/>
      <c r="G98" s="4" t="s">
        <v>403</v>
      </c>
      <c r="H98" s="4" t="s">
        <v>233</v>
      </c>
      <c r="K98" s="4" t="s">
        <v>225</v>
      </c>
      <c r="L98" s="4" t="s">
        <v>167</v>
      </c>
      <c r="M98" s="10">
        <v>3</v>
      </c>
      <c r="N98" s="4" t="s">
        <v>380</v>
      </c>
      <c r="O98" s="18">
        <v>41920</v>
      </c>
      <c r="P98" s="18">
        <v>41917</v>
      </c>
      <c r="Q98" s="4" t="s">
        <v>299</v>
      </c>
      <c r="R98" s="4" t="s">
        <v>299</v>
      </c>
      <c r="S98" s="4" t="s">
        <v>299</v>
      </c>
      <c r="U98" s="4">
        <v>60</v>
      </c>
      <c r="V98" s="4">
        <v>16</v>
      </c>
      <c r="W98" s="4">
        <v>1</v>
      </c>
      <c r="X98" s="4" t="s">
        <v>299</v>
      </c>
      <c r="Y98" s="4">
        <v>1</v>
      </c>
      <c r="Z98" s="4">
        <v>1</v>
      </c>
      <c r="AA98" s="4">
        <v>1</v>
      </c>
      <c r="AC98" s="4">
        <v>5</v>
      </c>
      <c r="AD98" s="4">
        <v>18</v>
      </c>
      <c r="AK98" s="4">
        <v>51132</v>
      </c>
      <c r="AM98" s="4">
        <v>53045</v>
      </c>
      <c r="AQ98" s="4">
        <v>55992</v>
      </c>
      <c r="AU98" s="4">
        <v>57962</v>
      </c>
      <c r="AY98" s="4">
        <v>20</v>
      </c>
      <c r="AZ98" s="3" t="s">
        <v>455</v>
      </c>
      <c r="BA98" s="4" t="s">
        <v>381</v>
      </c>
      <c r="BB98" s="4" t="s">
        <v>132</v>
      </c>
      <c r="BC98" s="4" t="s">
        <v>136</v>
      </c>
    </row>
    <row r="99" spans="1:168" s="4" customFormat="1" x14ac:dyDescent="0.25">
      <c r="A99" s="55" t="s">
        <v>227</v>
      </c>
      <c r="B99" s="17"/>
      <c r="C99" s="12">
        <v>63</v>
      </c>
      <c r="D99" s="15">
        <v>70</v>
      </c>
      <c r="E99" s="15">
        <f t="shared" si="7"/>
        <v>66.5</v>
      </c>
      <c r="F99" s="21"/>
      <c r="G99" s="4" t="s">
        <v>177</v>
      </c>
      <c r="H99" s="4" t="s">
        <v>118</v>
      </c>
      <c r="K99" s="4" t="s">
        <v>225</v>
      </c>
      <c r="L99" s="4" t="s">
        <v>230</v>
      </c>
      <c r="M99" s="10">
        <v>4</v>
      </c>
      <c r="N99" s="4" t="s">
        <v>231</v>
      </c>
      <c r="O99" s="15"/>
      <c r="P99" s="15"/>
      <c r="Q99" s="4">
        <v>35</v>
      </c>
      <c r="R99" s="4">
        <v>8</v>
      </c>
      <c r="S99" s="4">
        <v>66</v>
      </c>
      <c r="U99" s="4">
        <v>56</v>
      </c>
      <c r="V99" s="4">
        <v>16</v>
      </c>
      <c r="W99" s="4">
        <v>1.4</v>
      </c>
      <c r="X99" s="4" t="s">
        <v>299</v>
      </c>
      <c r="Y99" s="4" t="s">
        <v>299</v>
      </c>
      <c r="Z99" s="4" t="s">
        <v>299</v>
      </c>
      <c r="AA99" s="4" t="s">
        <v>299</v>
      </c>
      <c r="AC99" s="4">
        <v>4</v>
      </c>
      <c r="AD99" s="4">
        <v>15</v>
      </c>
      <c r="AK99" s="4">
        <v>50006</v>
      </c>
      <c r="AM99" s="4">
        <v>51544</v>
      </c>
      <c r="AQ99" s="4">
        <v>53317</v>
      </c>
      <c r="AU99" s="4">
        <v>55223</v>
      </c>
      <c r="AY99" s="4">
        <v>20</v>
      </c>
      <c r="AZ99" s="4">
        <v>10</v>
      </c>
      <c r="BA99" s="4" t="s">
        <v>72</v>
      </c>
      <c r="BB99" s="4" t="s">
        <v>335</v>
      </c>
      <c r="BC99" s="4" t="s">
        <v>73</v>
      </c>
      <c r="BD99" s="4" t="s">
        <v>232</v>
      </c>
    </row>
    <row r="100" spans="1:168" s="3" customFormat="1" x14ac:dyDescent="0.25">
      <c r="A100" s="55" t="s">
        <v>310</v>
      </c>
      <c r="B100" s="17"/>
      <c r="C100" s="12"/>
      <c r="D100" s="15"/>
      <c r="E100" s="15"/>
      <c r="F100" s="21"/>
      <c r="G100" s="4" t="s">
        <v>311</v>
      </c>
      <c r="H100" s="4" t="s">
        <v>204</v>
      </c>
      <c r="I100" s="4"/>
      <c r="J100" s="4"/>
      <c r="K100" s="4" t="s">
        <v>225</v>
      </c>
      <c r="L100" s="4"/>
      <c r="M100" s="10"/>
      <c r="N100" s="4"/>
      <c r="O100" s="15"/>
      <c r="P100" s="15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</row>
    <row r="101" spans="1:168" s="26" customFormat="1" x14ac:dyDescent="0.25">
      <c r="A101" s="55" t="s">
        <v>312</v>
      </c>
      <c r="B101" s="17"/>
      <c r="C101" s="12"/>
      <c r="D101" s="15"/>
      <c r="E101" s="15"/>
      <c r="F101" s="21"/>
      <c r="G101" s="4" t="s">
        <v>311</v>
      </c>
      <c r="H101" s="4" t="s">
        <v>204</v>
      </c>
      <c r="I101" s="4"/>
      <c r="J101" s="4"/>
      <c r="K101" s="4" t="s">
        <v>225</v>
      </c>
      <c r="L101" s="4"/>
      <c r="M101" s="10"/>
      <c r="N101" s="4"/>
      <c r="O101" s="15"/>
      <c r="P101" s="15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</row>
    <row r="102" spans="1:168" s="4" customFormat="1" x14ac:dyDescent="0.25">
      <c r="A102" s="4" t="s">
        <v>473</v>
      </c>
      <c r="B102" s="17"/>
      <c r="C102" s="12"/>
      <c r="D102" s="15"/>
      <c r="E102" s="15"/>
      <c r="F102" s="21"/>
      <c r="G102" s="4" t="s">
        <v>474</v>
      </c>
      <c r="H102" s="4" t="s">
        <v>475</v>
      </c>
      <c r="M102" s="10"/>
      <c r="O102" s="15"/>
      <c r="P102" s="15"/>
    </row>
    <row r="103" spans="1:168" x14ac:dyDescent="0.25"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7"/>
      <c r="AF103" s="2"/>
      <c r="AG103" s="2"/>
      <c r="AH103" s="2"/>
      <c r="AI103" s="7"/>
      <c r="AJ103" s="2"/>
      <c r="AK103" s="2"/>
      <c r="AL103" s="7"/>
      <c r="AM103" s="2"/>
      <c r="AN103" s="7"/>
      <c r="AO103" s="7"/>
      <c r="AP103" s="7"/>
      <c r="AQ103" s="2"/>
      <c r="AR103" s="7"/>
      <c r="AS103" s="7"/>
      <c r="AT103" s="7"/>
      <c r="AU103" s="2"/>
      <c r="AV103" s="7"/>
      <c r="AW103" s="7"/>
      <c r="AX103" s="7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</row>
    <row r="104" spans="1:168" x14ac:dyDescent="0.25"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7"/>
      <c r="AF104" s="2"/>
      <c r="AG104" s="2"/>
      <c r="AH104" s="2"/>
      <c r="AI104" s="7"/>
      <c r="AJ104" s="2"/>
      <c r="AK104" s="2"/>
      <c r="AL104" s="7"/>
      <c r="AM104" s="2"/>
      <c r="AN104" s="7"/>
      <c r="AO104" s="7"/>
      <c r="AP104" s="7"/>
      <c r="AQ104" s="2"/>
      <c r="AR104" s="7"/>
      <c r="AS104" s="7"/>
      <c r="AT104" s="7"/>
      <c r="AU104" s="2"/>
      <c r="AV104" s="7"/>
      <c r="AW104" s="7"/>
      <c r="AX104" s="7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</row>
    <row r="105" spans="1:168" x14ac:dyDescent="0.25"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7"/>
      <c r="AF105" s="2"/>
      <c r="AG105" s="2"/>
      <c r="AH105" s="2"/>
      <c r="AI105" s="7"/>
      <c r="AJ105" s="2"/>
      <c r="AK105" s="2"/>
      <c r="AL105" s="7"/>
      <c r="AM105" s="2"/>
      <c r="AN105" s="7"/>
      <c r="AO105" s="7"/>
      <c r="AP105" s="7"/>
      <c r="AQ105" s="2"/>
      <c r="AR105" s="7"/>
      <c r="AS105" s="7"/>
      <c r="AT105" s="7"/>
      <c r="AU105" s="2"/>
      <c r="AV105" s="7"/>
      <c r="AW105" s="7"/>
      <c r="AX105" s="7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</row>
    <row r="106" spans="1:168" x14ac:dyDescent="0.25"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7"/>
      <c r="AF106" s="2"/>
      <c r="AG106" s="2"/>
      <c r="AH106" s="2"/>
      <c r="AI106" s="7"/>
      <c r="AJ106" s="2"/>
      <c r="AK106" s="2"/>
      <c r="AL106" s="7"/>
      <c r="AM106" s="2"/>
      <c r="AN106" s="7"/>
      <c r="AO106" s="7"/>
      <c r="AP106" s="7"/>
      <c r="AQ106" s="2"/>
      <c r="AR106" s="7"/>
      <c r="AS106" s="7"/>
      <c r="AT106" s="7"/>
      <c r="AU106" s="2"/>
      <c r="AV106" s="7"/>
      <c r="AW106" s="7"/>
      <c r="AX106" s="7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</row>
    <row r="107" spans="1:168" x14ac:dyDescent="0.25"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7"/>
      <c r="AF107" s="2"/>
      <c r="AG107" s="2"/>
      <c r="AH107" s="2"/>
      <c r="AI107" s="7"/>
      <c r="AJ107" s="2"/>
      <c r="AK107" s="2"/>
      <c r="AL107" s="7"/>
      <c r="AM107" s="2"/>
      <c r="AN107" s="7"/>
      <c r="AO107" s="7"/>
      <c r="AP107" s="7"/>
      <c r="AQ107" s="2"/>
      <c r="AR107" s="7"/>
      <c r="AS107" s="7"/>
      <c r="AT107" s="7"/>
      <c r="AU107" s="2"/>
      <c r="AV107" s="7"/>
      <c r="AW107" s="7"/>
      <c r="AX107" s="7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</row>
    <row r="108" spans="1:168" x14ac:dyDescent="0.25"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7"/>
      <c r="AF108" s="2"/>
      <c r="AG108" s="2"/>
      <c r="AH108" s="2"/>
      <c r="AI108" s="7"/>
      <c r="AJ108" s="2"/>
      <c r="AK108" s="2"/>
      <c r="AL108" s="7"/>
      <c r="AM108" s="2"/>
      <c r="AN108" s="7"/>
      <c r="AO108" s="7"/>
      <c r="AP108" s="7"/>
      <c r="AQ108" s="2"/>
      <c r="AR108" s="7"/>
      <c r="AS108" s="7"/>
      <c r="AT108" s="7"/>
      <c r="AU108" s="2"/>
      <c r="AV108" s="7"/>
      <c r="AW108" s="7"/>
      <c r="AX108" s="7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</row>
    <row r="109" spans="1:168" x14ac:dyDescent="0.25"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7"/>
      <c r="AF109" s="2"/>
      <c r="AG109" s="2"/>
      <c r="AH109" s="2"/>
      <c r="AI109" s="7"/>
      <c r="AJ109" s="2"/>
      <c r="AK109" s="2"/>
      <c r="AL109" s="7"/>
      <c r="AM109" s="2"/>
      <c r="AN109" s="7"/>
      <c r="AO109" s="7"/>
      <c r="AP109" s="7"/>
      <c r="AQ109" s="2"/>
      <c r="AR109" s="7"/>
      <c r="AS109" s="7"/>
      <c r="AT109" s="7"/>
      <c r="AU109" s="2"/>
      <c r="AV109" s="7"/>
      <c r="AW109" s="7"/>
      <c r="AX109" s="7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</row>
    <row r="110" spans="1:168" x14ac:dyDescent="0.25"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7"/>
      <c r="AF110" s="2"/>
      <c r="AG110" s="2"/>
      <c r="AH110" s="2"/>
      <c r="AI110" s="7"/>
      <c r="AJ110" s="2"/>
      <c r="AK110" s="2"/>
      <c r="AL110" s="7"/>
      <c r="AM110" s="2"/>
      <c r="AN110" s="7"/>
      <c r="AO110" s="7"/>
      <c r="AP110" s="7"/>
      <c r="AQ110" s="2"/>
      <c r="AR110" s="7"/>
      <c r="AS110" s="7"/>
      <c r="AT110" s="7"/>
      <c r="AU110" s="2"/>
      <c r="AV110" s="7"/>
      <c r="AW110" s="7"/>
      <c r="AX110" s="7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</row>
    <row r="111" spans="1:168" x14ac:dyDescent="0.25"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7"/>
      <c r="AF111" s="2"/>
      <c r="AG111" s="2"/>
      <c r="AH111" s="2"/>
      <c r="AI111" s="7"/>
      <c r="AJ111" s="2"/>
      <c r="AK111" s="2"/>
      <c r="AL111" s="7"/>
      <c r="AM111" s="2"/>
      <c r="AN111" s="7"/>
      <c r="AO111" s="7"/>
      <c r="AP111" s="7"/>
      <c r="AQ111" s="2"/>
      <c r="AR111" s="7"/>
      <c r="AS111" s="7"/>
      <c r="AT111" s="7"/>
      <c r="AU111" s="2"/>
      <c r="AV111" s="7"/>
      <c r="AW111" s="7"/>
      <c r="AX111" s="7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</row>
    <row r="112" spans="1:168" x14ac:dyDescent="0.25"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7"/>
      <c r="AF112" s="2"/>
      <c r="AG112" s="2"/>
      <c r="AH112" s="2"/>
      <c r="AI112" s="7"/>
      <c r="AJ112" s="2"/>
      <c r="AK112" s="2"/>
      <c r="AL112" s="7"/>
      <c r="AM112" s="2"/>
      <c r="AN112" s="7"/>
      <c r="AO112" s="7"/>
      <c r="AP112" s="7"/>
      <c r="AQ112" s="2"/>
      <c r="AR112" s="7"/>
      <c r="AS112" s="7"/>
      <c r="AT112" s="7"/>
      <c r="AU112" s="2"/>
      <c r="AV112" s="7"/>
      <c r="AW112" s="7"/>
      <c r="AX112" s="7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</row>
    <row r="113" spans="20:140" x14ac:dyDescent="0.25"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7"/>
      <c r="AF113" s="2"/>
      <c r="AG113" s="2"/>
      <c r="AH113" s="2"/>
      <c r="AI113" s="7"/>
      <c r="AJ113" s="2"/>
      <c r="AK113" s="2"/>
      <c r="AL113" s="7"/>
      <c r="AM113" s="2"/>
      <c r="AN113" s="7"/>
      <c r="AO113" s="7"/>
      <c r="AP113" s="7"/>
      <c r="AQ113" s="2"/>
      <c r="AR113" s="7"/>
      <c r="AS113" s="7"/>
      <c r="AT113" s="7"/>
      <c r="AU113" s="2"/>
      <c r="AV113" s="7"/>
      <c r="AW113" s="7"/>
      <c r="AX113" s="7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</row>
  </sheetData>
  <sortState ref="B69:FO97">
    <sortCondition ref="E69:E97"/>
  </sortState>
  <phoneticPr fontId="2" type="noConversion"/>
  <pageMargins left="0.7" right="0.7" top="0.75" bottom="0.75" header="0.3" footer="0.3"/>
  <pageSetup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Navy Medicine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%username%</dc:creator>
  <cp:lastModifiedBy>John K Evans</cp:lastModifiedBy>
  <cp:lastPrinted>2014-10-17T19:47:37Z</cp:lastPrinted>
  <dcterms:created xsi:type="dcterms:W3CDTF">2014-05-01T19:37:45Z</dcterms:created>
  <dcterms:modified xsi:type="dcterms:W3CDTF">2016-11-12T19:59:05Z</dcterms:modified>
</cp:coreProperties>
</file>