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99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I54" i="1" l="1" a="1"/>
  <c r="I54" i="1" s="1"/>
  <c r="R5" i="1" a="1"/>
  <c r="R5" i="1" s="1"/>
  <c r="R6" i="1" a="1"/>
  <c r="R6" i="1" s="1"/>
  <c r="H51" i="1"/>
  <c r="J51" i="1"/>
  <c r="H2" i="1"/>
  <c r="J2" i="1"/>
  <c r="H3" i="1"/>
  <c r="J3" i="1"/>
  <c r="H4" i="1"/>
  <c r="J4" i="1"/>
  <c r="H5" i="1"/>
  <c r="J5" i="1"/>
  <c r="H6" i="1"/>
  <c r="J6" i="1"/>
  <c r="H7" i="1"/>
  <c r="J7" i="1"/>
  <c r="H8" i="1"/>
  <c r="J8" i="1"/>
  <c r="H9" i="1"/>
  <c r="J9" i="1"/>
  <c r="H10" i="1"/>
  <c r="J10" i="1"/>
  <c r="H11" i="1"/>
  <c r="J11" i="1"/>
  <c r="H12" i="1"/>
  <c r="J12" i="1"/>
  <c r="H13" i="1"/>
  <c r="J13" i="1"/>
  <c r="H14" i="1"/>
  <c r="J14" i="1"/>
  <c r="H15" i="1"/>
  <c r="J15" i="1"/>
  <c r="H16" i="1"/>
  <c r="J16" i="1"/>
  <c r="H17" i="1"/>
  <c r="J17" i="1"/>
  <c r="H18" i="1"/>
  <c r="J18" i="1"/>
  <c r="H19" i="1"/>
  <c r="J19" i="1"/>
  <c r="H20" i="1"/>
  <c r="J20" i="1"/>
  <c r="H21" i="1"/>
  <c r="J21" i="1"/>
  <c r="H22" i="1"/>
  <c r="J22" i="1"/>
  <c r="H23" i="1"/>
  <c r="J23" i="1"/>
  <c r="H24" i="1"/>
  <c r="J24" i="1"/>
  <c r="H25" i="1"/>
  <c r="J25" i="1"/>
  <c r="H26" i="1"/>
  <c r="J26" i="1"/>
  <c r="H27" i="1"/>
  <c r="J27" i="1"/>
  <c r="H28" i="1"/>
  <c r="J28" i="1"/>
  <c r="H29" i="1"/>
  <c r="J29" i="1"/>
  <c r="H30" i="1"/>
  <c r="J30" i="1"/>
  <c r="H31" i="1"/>
  <c r="J31" i="1"/>
  <c r="H32" i="1"/>
  <c r="J32" i="1"/>
  <c r="H33" i="1"/>
  <c r="J33" i="1"/>
  <c r="H34" i="1"/>
  <c r="J34" i="1"/>
  <c r="H35" i="1"/>
  <c r="J35" i="1"/>
  <c r="H36" i="1"/>
  <c r="J36" i="1"/>
  <c r="H37" i="1"/>
  <c r="J37" i="1"/>
  <c r="H38" i="1"/>
  <c r="J38" i="1"/>
  <c r="H39" i="1"/>
  <c r="J39" i="1"/>
  <c r="H40" i="1"/>
  <c r="J40" i="1"/>
  <c r="H41" i="1"/>
  <c r="J41" i="1"/>
  <c r="H42" i="1"/>
  <c r="J42" i="1"/>
  <c r="H43" i="1"/>
  <c r="J43" i="1"/>
  <c r="H44" i="1"/>
  <c r="J44" i="1"/>
  <c r="H45" i="1"/>
  <c r="J45" i="1"/>
  <c r="H46" i="1"/>
  <c r="J46" i="1"/>
  <c r="H47" i="1"/>
  <c r="J47" i="1"/>
  <c r="H48" i="1"/>
  <c r="J48" i="1"/>
  <c r="H49" i="1"/>
  <c r="J49" i="1"/>
  <c r="H50" i="1"/>
  <c r="J50" i="1"/>
  <c r="V7" i="1"/>
  <c r="I61" i="1" a="1"/>
  <c r="I61" i="1" s="1"/>
  <c r="I60" i="1" a="1"/>
  <c r="I60" i="1" s="1"/>
  <c r="I59" i="1" a="1"/>
  <c r="I59" i="1" s="1"/>
  <c r="I58" i="1" a="1"/>
  <c r="I58" i="1" s="1"/>
  <c r="I55" i="1" a="1"/>
  <c r="I55" i="1" s="1"/>
  <c r="G52" i="1"/>
  <c r="F52" i="1"/>
  <c r="E52" i="1"/>
  <c r="R40" i="1" a="1"/>
  <c r="R40" i="1" s="1"/>
  <c r="R39" i="1" a="1"/>
  <c r="R39" i="1" s="1"/>
  <c r="R38" i="1" a="1"/>
  <c r="R38" i="1" s="1"/>
  <c r="R37" i="1" a="1"/>
  <c r="R37" i="1" s="1"/>
  <c r="R34" i="1" a="1"/>
  <c r="R34" i="1" s="1"/>
  <c r="R12" i="1" a="1"/>
  <c r="R12" i="1" s="1"/>
  <c r="R11" i="1" a="1"/>
  <c r="R11" i="1" s="1"/>
  <c r="R10" i="1" a="1"/>
  <c r="R10" i="1" s="1"/>
  <c r="R9" i="1" a="1"/>
  <c r="R9" i="1" s="1"/>
  <c r="R36" i="1" l="1" a="1"/>
  <c r="R36" i="1" s="1"/>
  <c r="S6" i="1" a="1"/>
  <c r="S6" i="1" s="1"/>
  <c r="H52" i="1"/>
  <c r="S8" i="1" a="1"/>
  <c r="S8" i="1" s="1"/>
  <c r="S36" i="1" a="1"/>
  <c r="S36" i="1" s="1"/>
  <c r="S40" i="1" a="1"/>
  <c r="S40" i="1" s="1"/>
  <c r="I56" i="1" a="1"/>
  <c r="I56" i="1" s="1"/>
  <c r="I57" i="1" a="1"/>
  <c r="I57" i="1" s="1"/>
  <c r="S5" i="1" a="1"/>
  <c r="S5" i="1" s="1"/>
  <c r="S7" i="1" a="1"/>
  <c r="S7" i="1" s="1"/>
  <c r="S10" i="1" a="1"/>
  <c r="S10" i="1" s="1"/>
  <c r="S34" i="1" a="1"/>
  <c r="S34" i="1" s="1"/>
  <c r="S38" i="1" a="1"/>
  <c r="S38" i="1" s="1"/>
  <c r="S9" i="1" a="1"/>
  <c r="S9" i="1" s="1"/>
  <c r="S11" i="1" a="1"/>
  <c r="S11" i="1" s="1"/>
  <c r="S37" i="1" a="1"/>
  <c r="S37" i="1" s="1"/>
  <c r="S39" i="1" a="1"/>
  <c r="S39" i="1" s="1"/>
  <c r="J54" i="1" a="1"/>
  <c r="J54" i="1" s="1"/>
  <c r="J57" i="1" a="1"/>
  <c r="J57" i="1" s="1"/>
  <c r="J58" i="1" a="1"/>
  <c r="J58" i="1" s="1"/>
  <c r="J59" i="1" a="1"/>
  <c r="J59" i="1" s="1"/>
  <c r="J60" i="1" a="1"/>
  <c r="J60" i="1" s="1"/>
  <c r="J61" i="1" a="1"/>
  <c r="J61" i="1" s="1"/>
  <c r="S12" i="1" a="1"/>
  <c r="S12" i="1" s="1"/>
  <c r="R33" i="1" a="1"/>
  <c r="R33" i="1" s="1"/>
  <c r="R35" i="1" a="1"/>
  <c r="R35" i="1" s="1"/>
  <c r="R8" i="1" a="1"/>
  <c r="R8" i="1" s="1"/>
  <c r="S33" i="1" a="1"/>
  <c r="S33" i="1" s="1"/>
  <c r="S35" i="1" a="1"/>
  <c r="S35" i="1" s="1"/>
  <c r="J55" i="1" a="1"/>
  <c r="J55" i="1" s="1"/>
  <c r="J56" i="1" a="1"/>
  <c r="J56" i="1" s="1"/>
  <c r="R7" i="1" a="1"/>
  <c r="R7" i="1" s="1"/>
</calcChain>
</file>

<file path=xl/sharedStrings.xml><?xml version="1.0" encoding="utf-8"?>
<sst xmlns="http://schemas.openxmlformats.org/spreadsheetml/2006/main" count="77" uniqueCount="31">
  <si>
    <t>Date</t>
  </si>
  <si>
    <t>Test Company</t>
  </si>
  <si>
    <t>Subject - Ch#</t>
  </si>
  <si>
    <t>Passage #s</t>
  </si>
  <si>
    <t>Passages</t>
  </si>
  <si>
    <t>Qs</t>
  </si>
  <si>
    <t>Correct</t>
  </si>
  <si>
    <t>Score%</t>
  </si>
  <si>
    <t>Time</t>
  </si>
  <si>
    <t>Time/Psg</t>
  </si>
  <si>
    <t>Breakdown</t>
  </si>
  <si>
    <t>Comment</t>
  </si>
  <si>
    <t>REVIEW NEEDED</t>
  </si>
  <si>
    <t>TBR</t>
  </si>
  <si>
    <t>Bio - 1a</t>
  </si>
  <si>
    <t>IUPAC review</t>
  </si>
  <si>
    <t>All</t>
  </si>
  <si>
    <t>min/passage</t>
  </si>
  <si>
    <t>Phys</t>
  </si>
  <si>
    <t>Chem</t>
  </si>
  <si>
    <t>PS</t>
  </si>
  <si>
    <t>VR</t>
  </si>
  <si>
    <t>Chem - 1a</t>
  </si>
  <si>
    <t>Bio</t>
  </si>
  <si>
    <t>Orgo</t>
  </si>
  <si>
    <t>BS</t>
  </si>
  <si>
    <t>Orgo - 1a</t>
  </si>
  <si>
    <t>Phys - 1a</t>
  </si>
  <si>
    <t>TPRH</t>
  </si>
  <si>
    <t>1,2,3,4,5</t>
  </si>
  <si>
    <t>PE1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</si>
</sst>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;@"/>
    <numFmt numFmtId="165" formatCode="0.000"/>
    <numFmt numFmtId="166" formatCode="hh:m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164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left"/>
    </xf>
    <xf numFmtId="1" fontId="2" fillId="0" borderId="0" xfId="0" applyNumberFormat="1" applyFont="1" applyFill="1" applyAlignment="1">
      <alignment horizontal="left"/>
    </xf>
    <xf numFmtId="1" fontId="2" fillId="0" borderId="0" xfId="1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165" fontId="0" fillId="0" borderId="0" xfId="0" applyNumberFormat="1" applyFill="1" applyAlignment="1">
      <alignment horizontal="left"/>
    </xf>
    <xf numFmtId="2" fontId="0" fillId="0" borderId="0" xfId="0" applyNumberFormat="1" applyFill="1" applyAlignment="1">
      <alignment horizontal="left"/>
    </xf>
    <xf numFmtId="49" fontId="2" fillId="0" borderId="0" xfId="0" applyNumberFormat="1" applyFont="1" applyFill="1" applyAlignment="1">
      <alignment horizontal="left" wrapText="1"/>
    </xf>
    <xf numFmtId="49" fontId="3" fillId="0" borderId="0" xfId="0" applyNumberFormat="1" applyFont="1" applyFill="1" applyAlignment="1">
      <alignment horizontal="left"/>
    </xf>
    <xf numFmtId="0" fontId="2" fillId="0" borderId="0" xfId="0" applyFont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 applyFill="1"/>
    <xf numFmtId="49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1" fontId="0" fillId="0" borderId="0" xfId="1" applyNumberFormat="1" applyFont="1" applyFill="1" applyAlignment="1">
      <alignment horizontal="center"/>
    </xf>
    <xf numFmtId="9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right"/>
    </xf>
    <xf numFmtId="0" fontId="0" fillId="0" borderId="0" xfId="0" applyAlignment="1"/>
    <xf numFmtId="2" fontId="0" fillId="0" borderId="0" xfId="0" applyNumberFormat="1"/>
    <xf numFmtId="166" fontId="2" fillId="2" borderId="0" xfId="0" applyNumberFormat="1" applyFont="1" applyFill="1" applyAlignment="1">
      <alignment horizontal="right"/>
    </xf>
    <xf numFmtId="9" fontId="2" fillId="2" borderId="0" xfId="2" applyFont="1" applyFill="1" applyAlignment="1">
      <alignment horizontal="right"/>
    </xf>
    <xf numFmtId="2" fontId="2" fillId="2" borderId="0" xfId="2" applyNumberFormat="1" applyFont="1" applyFill="1" applyAlignment="1">
      <alignment horizontal="right"/>
    </xf>
    <xf numFmtId="49" fontId="4" fillId="2" borderId="0" xfId="0" applyNumberFormat="1" applyFont="1" applyFill="1"/>
    <xf numFmtId="166" fontId="0" fillId="3" borderId="0" xfId="0" applyNumberFormat="1" applyFill="1" applyAlignment="1">
      <alignment horizontal="right"/>
    </xf>
    <xf numFmtId="9" fontId="0" fillId="3" borderId="0" xfId="2" applyFont="1" applyFill="1" applyAlignment="1">
      <alignment horizontal="right"/>
    </xf>
    <xf numFmtId="2" fontId="0" fillId="3" borderId="0" xfId="2" applyNumberFormat="1" applyFont="1" applyFill="1" applyAlignment="1">
      <alignment horizontal="right"/>
    </xf>
    <xf numFmtId="49" fontId="4" fillId="3" borderId="0" xfId="0" applyNumberFormat="1" applyFont="1" applyFill="1"/>
    <xf numFmtId="2" fontId="0" fillId="0" borderId="1" xfId="0" applyNumberFormat="1" applyFill="1" applyBorder="1" applyAlignment="1">
      <alignment horizontal="center"/>
    </xf>
    <xf numFmtId="165" fontId="0" fillId="0" borderId="0" xfId="0" applyNumberFormat="1"/>
    <xf numFmtId="166" fontId="0" fillId="3" borderId="0" xfId="0" applyNumberFormat="1" applyFont="1" applyFill="1" applyAlignment="1">
      <alignment horizontal="right"/>
    </xf>
    <xf numFmtId="0" fontId="0" fillId="0" borderId="0" xfId="0" applyNumberFormat="1"/>
    <xf numFmtId="166" fontId="5" fillId="4" borderId="0" xfId="0" applyNumberFormat="1" applyFont="1" applyFill="1" applyAlignment="1">
      <alignment horizontal="right"/>
    </xf>
    <xf numFmtId="9" fontId="5" fillId="4" borderId="0" xfId="2" applyFont="1" applyFill="1" applyAlignment="1">
      <alignment horizontal="right"/>
    </xf>
    <xf numFmtId="2" fontId="5" fillId="4" borderId="0" xfId="2" applyNumberFormat="1" applyFont="1" applyFill="1" applyAlignment="1">
      <alignment horizontal="right"/>
    </xf>
    <xf numFmtId="49" fontId="6" fillId="4" borderId="0" xfId="0" applyNumberFormat="1" applyFont="1" applyFill="1"/>
    <xf numFmtId="166" fontId="2" fillId="5" borderId="0" xfId="0" applyNumberFormat="1" applyFont="1" applyFill="1" applyAlignment="1">
      <alignment horizontal="right"/>
    </xf>
    <xf numFmtId="9" fontId="2" fillId="5" borderId="0" xfId="2" applyFont="1" applyFill="1" applyAlignment="1">
      <alignment horizontal="right"/>
    </xf>
    <xf numFmtId="2" fontId="2" fillId="5" borderId="0" xfId="2" applyNumberFormat="1" applyFont="1" applyFill="1" applyAlignment="1">
      <alignment horizontal="right"/>
    </xf>
    <xf numFmtId="49" fontId="4" fillId="5" borderId="0" xfId="0" applyNumberFormat="1" applyFont="1" applyFill="1"/>
    <xf numFmtId="2" fontId="0" fillId="0" borderId="1" xfId="0" applyNumberFormat="1" applyFont="1" applyFill="1" applyBorder="1" applyAlignment="1">
      <alignment horizontal="center"/>
    </xf>
    <xf numFmtId="166" fontId="0" fillId="6" borderId="0" xfId="0" applyNumberFormat="1" applyFont="1" applyFill="1" applyAlignment="1">
      <alignment horizontal="right"/>
    </xf>
    <xf numFmtId="9" fontId="0" fillId="6" borderId="0" xfId="2" applyFont="1" applyFill="1" applyAlignment="1">
      <alignment horizontal="right"/>
    </xf>
    <xf numFmtId="2" fontId="0" fillId="6" borderId="0" xfId="2" applyNumberFormat="1" applyFont="1" applyFill="1" applyAlignment="1">
      <alignment horizontal="right"/>
    </xf>
    <xf numFmtId="49" fontId="4" fillId="6" borderId="0" xfId="0" applyNumberFormat="1" applyFont="1" applyFill="1"/>
    <xf numFmtId="166" fontId="0" fillId="6" borderId="0" xfId="0" applyNumberFormat="1" applyFill="1" applyAlignment="1">
      <alignment horizontal="right"/>
    </xf>
    <xf numFmtId="166" fontId="2" fillId="7" borderId="0" xfId="0" applyNumberFormat="1" applyFont="1" applyFill="1" applyAlignment="1">
      <alignment horizontal="right"/>
    </xf>
    <xf numFmtId="9" fontId="2" fillId="7" borderId="0" xfId="2" applyFont="1" applyFill="1" applyAlignment="1">
      <alignment horizontal="right"/>
    </xf>
    <xf numFmtId="2" fontId="2" fillId="7" borderId="0" xfId="2" applyNumberFormat="1" applyFont="1" applyFill="1" applyAlignment="1">
      <alignment horizontal="right"/>
    </xf>
    <xf numFmtId="49" fontId="4" fillId="7" borderId="0" xfId="0" applyNumberFormat="1" applyFont="1" applyFill="1"/>
    <xf numFmtId="2" fontId="0" fillId="0" borderId="0" xfId="0" applyNumberFormat="1" applyFill="1" applyBorder="1" applyAlignment="1">
      <alignment horizontal="center"/>
    </xf>
    <xf numFmtId="9" fontId="0" fillId="0" borderId="0" xfId="2" applyFont="1" applyFill="1" applyAlignment="1">
      <alignment horizontal="center"/>
    </xf>
    <xf numFmtId="49" fontId="0" fillId="0" borderId="0" xfId="0" applyNumberFormat="1"/>
    <xf numFmtId="164" fontId="0" fillId="0" borderId="0" xfId="0" applyNumberFormat="1"/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7" fillId="0" borderId="0" xfId="0" applyNumberFormat="1" applyFont="1" applyAlignment="1">
      <alignment horizontal="center"/>
    </xf>
    <xf numFmtId="9" fontId="0" fillId="0" borderId="0" xfId="0" applyNumberFormat="1" applyAlignment="1">
      <alignment horizontal="center"/>
    </xf>
    <xf numFmtId="2" fontId="3" fillId="0" borderId="2" xfId="0" applyNumberFormat="1" applyFont="1" applyBorder="1" applyAlignment="1">
      <alignment horizontal="center"/>
    </xf>
    <xf numFmtId="49" fontId="0" fillId="0" borderId="0" xfId="0" applyNumberFormat="1" applyAlignment="1">
      <alignment horizontal="center" wrapText="1"/>
    </xf>
    <xf numFmtId="49" fontId="0" fillId="0" borderId="0" xfId="0" applyNumberFormat="1" applyAlignment="1">
      <alignment horizontal="right"/>
    </xf>
    <xf numFmtId="1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right"/>
    </xf>
    <xf numFmtId="1" fontId="0" fillId="0" borderId="0" xfId="0" applyNumberFormat="1"/>
    <xf numFmtId="2" fontId="2" fillId="0" borderId="0" xfId="2" applyNumberFormat="1" applyFont="1" applyFill="1" applyAlignment="1">
      <alignment horizontal="right"/>
    </xf>
    <xf numFmtId="2" fontId="0" fillId="0" borderId="0" xfId="2" applyNumberFormat="1" applyFont="1" applyFill="1" applyAlignment="1">
      <alignment horizontal="right"/>
    </xf>
    <xf numFmtId="2" fontId="5" fillId="0" borderId="0" xfId="2" applyNumberFormat="1" applyFont="1" applyFill="1" applyAlignment="1">
      <alignment horizontal="right"/>
    </xf>
    <xf numFmtId="165" fontId="0" fillId="0" borderId="0" xfId="0" applyNumberFormat="1" applyFill="1" applyBorder="1" applyAlignment="1">
      <alignment horizontal="left"/>
    </xf>
    <xf numFmtId="165" fontId="0" fillId="0" borderId="0" xfId="0" applyNumberFormat="1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2" fontId="0" fillId="0" borderId="0" xfId="0" applyNumberFormat="1" applyFill="1" applyBorder="1"/>
    <xf numFmtId="2" fontId="0" fillId="0" borderId="0" xfId="0" applyNumberFormat="1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27">
    <dxf>
      <font>
        <color theme="5" tint="-0.499984740745262"/>
      </font>
      <fill>
        <patternFill>
          <bgColor theme="5" tint="0.39994506668294322"/>
        </patternFill>
      </fill>
    </dxf>
    <dxf>
      <font>
        <color theme="5" tint="-0.499984740745262"/>
      </font>
      <fill>
        <patternFill>
          <bgColor theme="5" tint="0.39994506668294322"/>
        </patternFill>
      </fill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 style="double">
          <color theme="4"/>
        </top>
        <bottom style="thin">
          <color theme="4" tint="0.39997558519241921"/>
        </bottom>
      </border>
    </dxf>
    <dxf>
      <numFmt numFmtId="13" formatCode="0%"/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64" formatCode="[$-409]d\-mmm;@"/>
    </dxf>
    <dxf>
      <numFmt numFmtId="2" formatCode="0.0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30" formatCode="@"/>
      <fill>
        <patternFill patternType="none">
          <bgColor auto="1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30" formatCode="@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30" formatCode="@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30" formatCode="@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[$-409]d\-mmm;@"/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L52" totalsRowCount="1" headerRowDxfId="26">
  <autoFilter ref="A1:L51"/>
  <sortState ref="A2:M51">
    <sortCondition ref="C1:C51"/>
  </sortState>
  <tableColumns count="12">
    <tableColumn id="1" name="Date" dataDxfId="25" totalsRowDxfId="13"/>
    <tableColumn id="14" name="Test Company" dataDxfId="24" totalsRowDxfId="12"/>
    <tableColumn id="15" name="Subject - Ch#" dataDxfId="23" totalsRowDxfId="11"/>
    <tableColumn id="16" name="Passage #s" dataDxfId="22" totalsRowDxfId="10"/>
    <tableColumn id="2" name="Passages" totalsRowFunction="sum" dataDxfId="21" totalsRowDxfId="9"/>
    <tableColumn id="3" name="Qs" totalsRowFunction="custom" dataDxfId="20" totalsRowDxfId="8" dataCellStyle="Comma">
      <totalsRowFormula>SUM(Table1[Qs])</totalsRowFormula>
    </tableColumn>
    <tableColumn id="4" name="Correct" totalsRowFunction="sum" dataDxfId="19" totalsRowDxfId="7"/>
    <tableColumn id="5" name="Score%" totalsRowFunction="average" dataDxfId="16" totalsRowDxfId="6">
      <calculatedColumnFormula>IF(Table1[[#This Row],[Qs]]&gt;0,(Table1[[#This Row],[Correct]]/Table1[[#This Row],[Qs]]),"")</calculatedColumnFormula>
    </tableColumn>
    <tableColumn id="10" name="Time" dataDxfId="14" totalsRowDxfId="5"/>
    <tableColumn id="9" name="Time/Psg" dataDxfId="15" totalsRowDxfId="4">
      <calculatedColumnFormula>IF(Table1[Time]&gt;0,INT(((60*INT(Table1[Time])+100*MOD(Table1[Time],1))/60)/Table1[[#This Row],[Passages]])+MOD(((60*INT(Table1[Time])+100*MOD(Table1[Time],1))/60)/Table1[[#This Row],[Passages]],1)*0.6,"")</calculatedColumnFormula>
    </tableColumn>
    <tableColumn id="8" name="Breakdown" dataDxfId="18" totalsRowDxfId="3"/>
    <tableColumn id="18" name="Comment" dataDxfId="17" totalsRow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zoomScale="85" zoomScaleNormal="85" workbookViewId="0">
      <pane xSplit="17220" topLeftCell="Q1"/>
      <selection activeCell="I12" sqref="I12"/>
      <selection pane="topRight" activeCell="R5" sqref="R5"/>
    </sheetView>
  </sheetViews>
  <sheetFormatPr defaultRowHeight="15" x14ac:dyDescent="0.25"/>
  <cols>
    <col min="1" max="1" width="9.7109375" style="55" bestFit="1" customWidth="1"/>
    <col min="2" max="2" width="12.140625" style="56" bestFit="1" customWidth="1"/>
    <col min="3" max="3" width="14.7109375" style="56" customWidth="1"/>
    <col min="4" max="4" width="15.5703125" style="56" bestFit="1" customWidth="1"/>
    <col min="5" max="5" width="6.42578125" style="57" customWidth="1"/>
    <col min="6" max="6" width="6" style="63" bestFit="1" customWidth="1"/>
    <col min="7" max="7" width="9.7109375" style="57" bestFit="1" customWidth="1"/>
    <col min="8" max="8" width="9.85546875" style="64" bestFit="1" customWidth="1"/>
    <col min="9" max="9" width="8.42578125" style="65" bestFit="1" customWidth="1"/>
    <col min="10" max="10" width="7.140625" style="61" customWidth="1"/>
    <col min="11" max="11" width="15.42578125" style="54" customWidth="1"/>
    <col min="12" max="12" width="33.5703125" style="56" customWidth="1"/>
    <col min="13" max="13" width="40" style="54" bestFit="1" customWidth="1"/>
    <col min="14" max="14" width="9.140625" style="74"/>
    <col min="17" max="17" width="6.140625" style="21" bestFit="1" customWidth="1"/>
    <col min="18" max="18" width="7.7109375" bestFit="1" customWidth="1"/>
    <col min="19" max="19" width="4.7109375" bestFit="1" customWidth="1"/>
    <col min="20" max="20" width="11.7109375" bestFit="1" customWidth="1"/>
  </cols>
  <sheetData>
    <row r="1" spans="1:22" s="12" customFormat="1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3" t="s">
        <v>6</v>
      </c>
      <c r="H1" s="5" t="s">
        <v>7</v>
      </c>
      <c r="I1" s="6" t="s">
        <v>8</v>
      </c>
      <c r="J1" s="7" t="s">
        <v>9</v>
      </c>
      <c r="K1" s="8" t="s">
        <v>10</v>
      </c>
      <c r="L1" s="9" t="s">
        <v>11</v>
      </c>
      <c r="M1" s="10" t="s">
        <v>12</v>
      </c>
      <c r="N1" s="70"/>
      <c r="O1" s="11"/>
      <c r="R1" s="11"/>
    </row>
    <row r="2" spans="1:22" x14ac:dyDescent="0.25">
      <c r="A2" s="13">
        <v>41820</v>
      </c>
      <c r="B2" s="14" t="s">
        <v>13</v>
      </c>
      <c r="C2" s="14" t="s">
        <v>26</v>
      </c>
      <c r="D2" s="14" t="s">
        <v>29</v>
      </c>
      <c r="E2" s="15">
        <v>5</v>
      </c>
      <c r="F2" s="16">
        <v>35</v>
      </c>
      <c r="G2" s="15">
        <v>35</v>
      </c>
      <c r="H2" s="17">
        <f>IF(Table1[[#This Row],[Qs]]&gt;0,(Table1[[#This Row],[Correct]]/Table1[[#This Row],[Qs]]),"")</f>
        <v>1</v>
      </c>
      <c r="I2" s="42">
        <v>30</v>
      </c>
      <c r="J2" s="18">
        <f>IF(Table1[Time]&gt;0,INT(((60*INT(Table1[Time])+100*MOD(Table1[Time],1))/60)/Table1[[#This Row],[Passages]])+MOD(((60*INT(Table1[Time])+100*MOD(Table1[Time],1))/60)/Table1[[#This Row],[Passages]],1)*0.6,"")</f>
        <v>6</v>
      </c>
      <c r="K2" s="14"/>
      <c r="L2" s="19"/>
      <c r="M2" s="20" t="s">
        <v>15</v>
      </c>
      <c r="N2" s="71"/>
      <c r="O2" s="21"/>
      <c r="Q2"/>
      <c r="R2" s="21"/>
    </row>
    <row r="3" spans="1:22" x14ac:dyDescent="0.25">
      <c r="A3" s="13">
        <v>41820</v>
      </c>
      <c r="B3" s="14" t="s">
        <v>13</v>
      </c>
      <c r="C3" s="14" t="s">
        <v>14</v>
      </c>
      <c r="D3" s="14" t="s">
        <v>29</v>
      </c>
      <c r="E3" s="15">
        <v>5</v>
      </c>
      <c r="F3" s="16">
        <v>35</v>
      </c>
      <c r="G3" s="15">
        <v>30</v>
      </c>
      <c r="H3" s="17">
        <f>IF(Table1[[#This Row],[Qs]]&gt;0,(Table1[[#This Row],[Correct]]/Table1[[#This Row],[Qs]]),"")</f>
        <v>0.8571428571428571</v>
      </c>
      <c r="I3" s="42">
        <v>31</v>
      </c>
      <c r="J3" s="18">
        <f>IF(Table1[Time]&gt;0,INT(((60*INT(Table1[Time])+100*MOD(Table1[Time],1))/60)/Table1[[#This Row],[Passages]])+MOD(((60*INT(Table1[Time])+100*MOD(Table1[Time],1))/60)/Table1[[#This Row],[Passages]],1)*0.6,"")</f>
        <v>6.12</v>
      </c>
      <c r="K3" s="14"/>
      <c r="L3" s="19"/>
      <c r="M3"/>
      <c r="N3" s="71"/>
      <c r="O3" s="21"/>
      <c r="Q3"/>
      <c r="R3" s="21"/>
    </row>
    <row r="4" spans="1:22" x14ac:dyDescent="0.25">
      <c r="A4" s="13">
        <v>41820</v>
      </c>
      <c r="B4" s="14" t="s">
        <v>13</v>
      </c>
      <c r="C4" s="14" t="s">
        <v>22</v>
      </c>
      <c r="D4" s="14" t="s">
        <v>29</v>
      </c>
      <c r="E4" s="15">
        <v>5</v>
      </c>
      <c r="F4" s="16">
        <v>35</v>
      </c>
      <c r="G4" s="15">
        <v>25</v>
      </c>
      <c r="H4" s="17">
        <f>IF(Table1[[#This Row],[Qs]]&gt;0,(Table1[[#This Row],[Correct]]/Table1[[#This Row],[Qs]]),"")</f>
        <v>0.7142857142857143</v>
      </c>
      <c r="I4" s="42">
        <v>32</v>
      </c>
      <c r="J4" s="18">
        <f>IF(Table1[Time]&gt;0,INT(((60*INT(Table1[Time])+100*MOD(Table1[Time],1))/60)/Table1[[#This Row],[Passages]])+MOD(((60*INT(Table1[Time])+100*MOD(Table1[Time],1))/60)/Table1[[#This Row],[Passages]],1)*0.6,"")</f>
        <v>6.24</v>
      </c>
      <c r="K4" s="14"/>
      <c r="L4" s="19"/>
      <c r="M4"/>
      <c r="N4" s="71"/>
      <c r="O4" s="21"/>
      <c r="Q4"/>
      <c r="R4" s="21"/>
    </row>
    <row r="5" spans="1:22" x14ac:dyDescent="0.25">
      <c r="A5" s="13">
        <v>41820</v>
      </c>
      <c r="B5" s="14" t="s">
        <v>13</v>
      </c>
      <c r="C5" s="14" t="s">
        <v>27</v>
      </c>
      <c r="D5" s="14" t="s">
        <v>29</v>
      </c>
      <c r="E5" s="15">
        <v>5</v>
      </c>
      <c r="F5" s="16">
        <v>35</v>
      </c>
      <c r="G5" s="15">
        <v>20</v>
      </c>
      <c r="H5" s="17">
        <f>IF(Table1[[#This Row],[Qs]]&gt;0,(Table1[[#This Row],[Correct]]/Table1[[#This Row],[Qs]]),"")</f>
        <v>0.5714285714285714</v>
      </c>
      <c r="I5" s="42">
        <v>33</v>
      </c>
      <c r="J5" s="18">
        <f>IF(Table1[Time]&gt;0,INT(((60*INT(Table1[Time])+100*MOD(Table1[Time],1))/60)/Table1[[#This Row],[Passages]])+MOD(((60*INT(Table1[Time])+100*MOD(Table1[Time],1))/60)/Table1[[#This Row],[Passages]],1)*0.6,"")</f>
        <v>6.3599999999999994</v>
      </c>
      <c r="K5" s="14"/>
      <c r="L5" s="19"/>
      <c r="M5"/>
      <c r="N5" s="71"/>
      <c r="O5" s="21"/>
      <c r="Q5" s="22" t="s">
        <v>16</v>
      </c>
      <c r="R5" s="23">
        <f t="array" ref="R5">AVERAGE(IF(ISTEXT(Table1[Subject - Ch'#]),Table1[Correct]/Table1[Qs]))</f>
        <v>0.79357142857142871</v>
      </c>
      <c r="S5" s="24">
        <f t="array" ref="S5">INT((60*SUM(IF(Table1[Subject - Ch'#]&gt;0,INT(Table1[Time/Psg])))+SUM(IF(Table1[Subject - Ch'#]&gt;0,100*(Table1[Time/Psg]-INT(Table1[Time/Psg])))))/COUNTIF(Table1[Subject - Ch'#], "*")/60)+0.01*MOD((60*SUM(IF(Table1[Subject - Ch'#]&gt;0,INT(Table1[Time/Psg])))+SUM(IF(Table1[Subject - Ch'#]&gt;0,100*(Table1[Time/Psg]-INT(Table1[Time/Psg])))))/COUNTIF(Table1[Subject - Ch'#], "*"),60)</f>
        <v>6.0154285714285711</v>
      </c>
      <c r="T5" s="25" t="s">
        <v>17</v>
      </c>
    </row>
    <row r="6" spans="1:22" x14ac:dyDescent="0.25">
      <c r="A6" s="13">
        <v>41820</v>
      </c>
      <c r="B6" s="14" t="s">
        <v>28</v>
      </c>
      <c r="C6" s="14" t="s">
        <v>21</v>
      </c>
      <c r="D6" s="14" t="s">
        <v>30</v>
      </c>
      <c r="E6" s="15">
        <v>7</v>
      </c>
      <c r="F6" s="16">
        <v>40</v>
      </c>
      <c r="G6" s="15">
        <v>33</v>
      </c>
      <c r="H6" s="17">
        <f>IF(Table1[[#This Row],[Qs]]&gt;0,(Table1[[#This Row],[Correct]]/Table1[[#This Row],[Qs]]),"")</f>
        <v>0.82499999999999996</v>
      </c>
      <c r="I6" s="42">
        <v>34.299999999999997</v>
      </c>
      <c r="J6" s="18">
        <f>IF(Table1[Time]&gt;0,INT(((60*INT(Table1[Time])+100*MOD(Table1[Time],1))/60)/Table1[[#This Row],[Passages]])+MOD(((60*INT(Table1[Time])+100*MOD(Table1[Time],1))/60)/Table1[[#This Row],[Passages]],1)*0.6,"")</f>
        <v>4.5571428571428569</v>
      </c>
      <c r="K6" s="14"/>
      <c r="L6" s="19"/>
      <c r="M6"/>
      <c r="N6" s="71"/>
      <c r="O6" s="21"/>
      <c r="Q6" s="26" t="s">
        <v>18</v>
      </c>
      <c r="R6" s="27">
        <f t="array" ref="R6">AVERAGE(IF(ISNUMBER(FIND("Phys",Table1[Subject - Ch'#])),Table1[Correct]/Table1[Qs]))</f>
        <v>0.5714285714285714</v>
      </c>
      <c r="S6" s="28">
        <f t="array" ref="S6">INT((60*SUM(IF(ISNUMBER(FIND("Phy",Table1[Subject - Ch'#])),INT(Table1[Time/Psg])))+SUM(IF(ISNUMBER(FIND("Phy",Table1[Subject - Ch'#])),100*(Table1[Time/Psg]-INT(Table1[Time/Psg])))))/COUNTIF(Table1[Subject - Ch'#], "*Phy*")/60)+0.01*MOD((60*SUM(IF(ISNUMBER(FIND("Phy",Table1[Subject - Ch'#])),INT(Table1[Time/Psg])))+SUM(IF(ISNUMBER(FIND("Phy",Table1[Subject - Ch'#])),100*(Table1[Time/Psg]-INT(Table1[Time/Psg])))))/COUNTIF(Table1[Subject - Ch'#], "*Phy*"),60)</f>
        <v>6.3599999999999994</v>
      </c>
      <c r="T6" s="29" t="s">
        <v>17</v>
      </c>
    </row>
    <row r="7" spans="1:22" x14ac:dyDescent="0.25">
      <c r="A7" s="13"/>
      <c r="B7" s="14"/>
      <c r="C7" s="14"/>
      <c r="D7" s="14"/>
      <c r="E7" s="15"/>
      <c r="F7" s="16"/>
      <c r="G7" s="15"/>
      <c r="H7" s="17" t="str">
        <f>IF(Table1[[#This Row],[Qs]]&gt;0,(Table1[[#This Row],[Correct]]/Table1[[#This Row],[Qs]]),"")</f>
        <v/>
      </c>
      <c r="I7" s="30"/>
      <c r="J7" s="18" t="str">
        <f>IF(Table1[Time]&gt;0,INT(((60*INT(Table1[Time])+100*MOD(Table1[Time],1))/60)/Table1[[#This Row],[Passages]])+MOD(((60*INT(Table1[Time])+100*MOD(Table1[Time],1))/60)/Table1[[#This Row],[Passages]],1)*0.6,"")</f>
        <v/>
      </c>
      <c r="K7" s="14"/>
      <c r="L7" s="19"/>
      <c r="M7"/>
      <c r="N7" s="71"/>
      <c r="O7" s="21"/>
      <c r="P7" s="31"/>
      <c r="Q7" s="32" t="s">
        <v>19</v>
      </c>
      <c r="R7" s="27">
        <f t="array" ref="R7">AVERAGE(IF(ISNUMBER(FIND("Chem",Table1[Subject - Ch'#])),Table1[Score%]))</f>
        <v>0.7142857142857143</v>
      </c>
      <c r="S7" s="28">
        <f t="array" ref="S7">INT((60*SUM(IF(ISNUMBER(FIND("Chem",Table1[Subject - Ch'#])),INT(Table1[Time/Psg])))+SUM(IF(ISNUMBER(FIND("Chem",Table1[Subject - Ch'#])),100*(Table1[Time/Psg]-INT(Table1[Time/Psg])))))/COUNTIF(Table1[Subject - Ch'#], "*Chem*")/60)+0.01*MOD((60*SUM(IF(ISNUMBER(FIND("Chem",Table1[Subject - Ch'#])),INT(Table1[Time/Psg])))+SUM(IF(ISNUMBER(FIND("Chem",Table1[Subject - Ch'#])),100*(Table1[Time/Psg]-INT(Table1[Time/Psg])))))/COUNTIF(Table1[Subject - Ch'#], "*Chem*"),60)</f>
        <v>6.24</v>
      </c>
      <c r="T7" s="29" t="s">
        <v>17</v>
      </c>
      <c r="U7" s="21"/>
      <c r="V7" t="e">
        <f>T5+0.01*U7</f>
        <v>#VALUE!</v>
      </c>
    </row>
    <row r="8" spans="1:22" x14ac:dyDescent="0.25">
      <c r="A8" s="13"/>
      <c r="B8" s="14"/>
      <c r="C8" s="14"/>
      <c r="D8" s="14"/>
      <c r="E8" s="15"/>
      <c r="F8" s="16"/>
      <c r="G8" s="15"/>
      <c r="H8" s="17" t="str">
        <f>IF(Table1[[#This Row],[Qs]]&gt;0,(Table1[[#This Row],[Correct]]/Table1[[#This Row],[Qs]]),"")</f>
        <v/>
      </c>
      <c r="I8" s="30"/>
      <c r="J8" s="18" t="str">
        <f>IF(Table1[Time]&gt;0,INT(((60*INT(Table1[Time])+100*MOD(Table1[Time],1))/60)/Table1[[#This Row],[Passages]])+MOD(((60*INT(Table1[Time])+100*MOD(Table1[Time],1))/60)/Table1[[#This Row],[Passages]],1)*0.6,"")</f>
        <v/>
      </c>
      <c r="K8" s="14"/>
      <c r="L8" s="19"/>
      <c r="M8" s="33"/>
      <c r="N8" s="71"/>
      <c r="O8" s="21"/>
      <c r="Q8" s="34" t="s">
        <v>20</v>
      </c>
      <c r="R8" s="35">
        <f t="array" ref="R8">AVERAGE(IF(ISNUMBER(FIND("h",Table1[Subject - Ch'#])),Table1[Score%]))</f>
        <v>0.64285714285714279</v>
      </c>
      <c r="S8" s="36">
        <f t="array" ref="S8">INT((60*SUM(IF(ISNUMBER(FIND("h",Table1[Subject - Ch'#])),INT(Table1[Time/Psg])))+SUM(IF(ISNUMBER(FIND("h",Table1[Subject - Ch'#])),100*(Table1[Time/Psg]-INT(Table1[Time/Psg])))))/COUNTIF(Table1[Subject - Ch'#], "*h*")/60)+0.01*MOD((60*SUM(IF(ISNUMBER(FIND("h",Table1[Subject - Ch'#])),INT(Table1[Time/Psg])))+SUM(IF(ISNUMBER(FIND("h",Table1[Subject - Ch'#])),100*(Table1[Time/Psg]-INT(Table1[Time/Psg])))))/COUNTIF(Table1[Subject - Ch'#], "*h*"),60)</f>
        <v>6.3</v>
      </c>
      <c r="T8" s="37" t="s">
        <v>17</v>
      </c>
    </row>
    <row r="9" spans="1:22" x14ac:dyDescent="0.25">
      <c r="A9" s="13"/>
      <c r="B9" s="14"/>
      <c r="C9" s="14"/>
      <c r="D9" s="14"/>
      <c r="E9" s="15"/>
      <c r="F9" s="16"/>
      <c r="G9" s="15"/>
      <c r="H9" s="17" t="str">
        <f>IF(Table1[[#This Row],[Qs]]&gt;0,(Table1[[#This Row],[Correct]]/Table1[[#This Row],[Qs]]),"")</f>
        <v/>
      </c>
      <c r="I9" s="30"/>
      <c r="J9" s="18" t="str">
        <f>IF(Table1[Time]&gt;0,INT(((60*INT(Table1[Time])+100*MOD(Table1[Time],1))/60)/Table1[[#This Row],[Passages]])+MOD(((60*INT(Table1[Time])+100*MOD(Table1[Time],1))/60)/Table1[[#This Row],[Passages]],1)*0.6,"")</f>
        <v/>
      </c>
      <c r="K9" s="14"/>
      <c r="L9" s="19"/>
      <c r="M9" s="33"/>
      <c r="N9" s="71"/>
      <c r="O9" s="21"/>
      <c r="Q9" s="38" t="s">
        <v>21</v>
      </c>
      <c r="R9" s="39">
        <f t="array" ref="R9">AVERAGE(IF(ISNUMBER(FIND("VR",Table1[Subject - Ch'#])),Table1[Correct]/Table1[Qs]))</f>
        <v>0.82499999999999996</v>
      </c>
      <c r="S9" s="40">
        <f t="array" ref="S9">INT((60*SUM(IF(Table1[Subject - Ch'#]="VR",INT(Table1[Time/Psg])))+SUM(IF(Table1[Subject - Ch'#]="VR",100*(Table1[Time/Psg]-INT(Table1[Time/Psg])))))/COUNTIF(Table1[Subject - Ch'#], "VR")/60)+0.01*MOD((60*SUM(IF(Table1[Subject - Ch'#]="VR",INT(Table1[Time/Psg])))+SUM(IF(Table1[Subject - Ch'#]="VR",100*(Table1[Time/Psg]-INT(Table1[Time/Psg])))))/COUNTIF(Table1[Subject - Ch'#], "VR"),60)</f>
        <v>4.5571428571428569</v>
      </c>
      <c r="T9" s="41" t="s">
        <v>17</v>
      </c>
    </row>
    <row r="10" spans="1:22" x14ac:dyDescent="0.25">
      <c r="A10" s="13"/>
      <c r="B10" s="14"/>
      <c r="C10" s="14"/>
      <c r="D10" s="14"/>
      <c r="E10" s="15"/>
      <c r="F10" s="16"/>
      <c r="G10" s="15"/>
      <c r="H10" s="17" t="str">
        <f>IF(Table1[[#This Row],[Qs]]&gt;0,(Table1[[#This Row],[Correct]]/Table1[[#This Row],[Qs]]),"")</f>
        <v/>
      </c>
      <c r="I10" s="42"/>
      <c r="J10" s="18" t="str">
        <f>IF(Table1[Time]&gt;0,INT(((60*INT(Table1[Time])+100*MOD(Table1[Time],1))/60)/Table1[[#This Row],[Passages]])+MOD(((60*INT(Table1[Time])+100*MOD(Table1[Time],1))/60)/Table1[[#This Row],[Passages]],1)*0.6,"")</f>
        <v/>
      </c>
      <c r="K10" s="14"/>
      <c r="L10" s="19"/>
      <c r="M10" s="33"/>
      <c r="N10" s="71"/>
      <c r="O10" s="21"/>
      <c r="Q10" s="43" t="s">
        <v>23</v>
      </c>
      <c r="R10" s="44">
        <f t="array" ref="R10">AVERAGE(IF(ISNUMBER(FIND("Bio",Table1[Subject - Ch'#])),Table1[Correct]/Table1[Qs]))</f>
        <v>0.8571428571428571</v>
      </c>
      <c r="S10" s="45">
        <f t="array" ref="S10">INT((60*SUM(IF(ISNUMBER(FIND("Bio",Table1[Subject - Ch'#])),INT(Table1[Time/Psg])))+SUM(IF(ISNUMBER(FIND("Bio",Table1[Subject - Ch'#])),100*(Table1[Time/Psg]-INT(Table1[Time/Psg])))))/COUNTIF(Table1[Subject - Ch'#], "*Bio*")/60)+0.01*MOD((60*SUM(IF(ISNUMBER(FIND("Bio",Table1[Subject - Ch'#])),INT(Table1[Time/Psg])))+SUM(IF(ISNUMBER(FIND("Bio",Table1[Subject - Ch'#])),100*(Table1[Time/Psg]-INT(Table1[Time/Psg])))))/COUNTIF(Table1[Subject - Ch'#], "*Bio*"),60)</f>
        <v>6.12</v>
      </c>
      <c r="T10" s="46" t="s">
        <v>17</v>
      </c>
    </row>
    <row r="11" spans="1:22" x14ac:dyDescent="0.25">
      <c r="A11" s="13"/>
      <c r="B11" s="14"/>
      <c r="C11" s="14"/>
      <c r="D11" s="14"/>
      <c r="E11" s="15"/>
      <c r="F11" s="16"/>
      <c r="G11" s="15"/>
      <c r="H11" s="17" t="str">
        <f>IF(Table1[[#This Row],[Qs]]&gt;0,(Table1[[#This Row],[Correct]]/Table1[[#This Row],[Qs]]),"")</f>
        <v/>
      </c>
      <c r="I11" s="42"/>
      <c r="J11" s="18" t="str">
        <f>IF(Table1[Time]&gt;0,INT(((60*INT(Table1[Time])+100*MOD(Table1[Time],1))/60)/Table1[[#This Row],[Passages]])+MOD(((60*INT(Table1[Time])+100*MOD(Table1[Time],1))/60)/Table1[[#This Row],[Passages]],1)*0.6,"")</f>
        <v/>
      </c>
      <c r="K11" s="14"/>
      <c r="L11" s="19"/>
      <c r="M11" s="33"/>
      <c r="N11" s="71"/>
      <c r="O11" s="21"/>
      <c r="Q11" s="47" t="s">
        <v>24</v>
      </c>
      <c r="R11" s="44">
        <f t="array" ref="R11">AVERAGE(IF(ISNUMBER(FIND("Orgo",Table1[Subject - Ch'#])),Table1[Correct]/Table1[Qs]))</f>
        <v>1</v>
      </c>
      <c r="S11" s="45">
        <f t="array" ref="S11">INT((60*SUM(IF(ISNUMBER(FIND("Org",Table1[Subject - Ch'#])),INT(Table1[Time/Psg])))+SUM(IF(ISNUMBER(FIND("Org",Table1[Subject - Ch'#])),100*(Table1[Time/Psg]-INT(Table1[Time/Psg])))))/COUNTIF(Table1[Subject - Ch'#], "*Org*")/60)+0.01*MOD((60*SUM(IF(ISNUMBER(FIND("Orgo",Table1[Subject - Ch'#])),INT(Table1[Time/Psg])))+SUM(IF(ISNUMBER(FIND("Orgo",Table1[Subject - Ch'#])),100*(Table1[Time/Psg]-INT(Table1[Time/Psg])))))/COUNTIF(Table1[Subject - Ch'#], "*Orgo*"),60)</f>
        <v>6</v>
      </c>
      <c r="T11" s="46" t="s">
        <v>17</v>
      </c>
    </row>
    <row r="12" spans="1:22" x14ac:dyDescent="0.25">
      <c r="A12" s="13"/>
      <c r="B12" s="14"/>
      <c r="C12" s="14"/>
      <c r="D12" s="14"/>
      <c r="E12" s="15"/>
      <c r="F12" s="16"/>
      <c r="G12" s="15"/>
      <c r="H12" s="17" t="str">
        <f>IF(Table1[[#This Row],[Qs]]&gt;0,(Table1[[#This Row],[Correct]]/Table1[[#This Row],[Qs]]),"")</f>
        <v/>
      </c>
      <c r="I12" s="42"/>
      <c r="J12" s="18" t="str">
        <f>IF(Table1[Time]&gt;0,INT(((60*INT(Table1[Time])+100*MOD(Table1[Time],1))/60)/Table1[[#This Row],[Passages]])+MOD(((60*INT(Table1[Time])+100*MOD(Table1[Time],1))/60)/Table1[[#This Row],[Passages]],1)*0.6,"")</f>
        <v/>
      </c>
      <c r="K12" s="14"/>
      <c r="L12" s="19"/>
      <c r="M12" s="33"/>
      <c r="N12" s="71"/>
      <c r="O12" s="21"/>
      <c r="Q12" s="48" t="s">
        <v>25</v>
      </c>
      <c r="R12" s="49">
        <f t="array" ref="R12">AVERAGE(IF(ISNUMBER(FIND("o",Table1[Subject - Ch'#])),Table1[Correct]/Table1[Qs]))</f>
        <v>0.9285714285714286</v>
      </c>
      <c r="S12" s="50">
        <f t="array" ref="S12">INT((60*SUM(IF(ISNUMBER(FIND("o",Table1[Subject - Ch'#])),INT(Table1[Time/Psg])))+SUM(IF(ISNUMBER(FIND("o",Table1[Subject - Ch'#])),100*(Table1[Time/Psg]-INT(Table1[Time/Psg])))))/COUNTIF(Table1[Subject - Ch'#], "*o*")/60)+0.01*MOD((60*SUM(IF(ISNUMBER(FIND("o",Table1[Subject - Ch'#])),INT(Table1[Time/Psg])))+SUM(IF(ISNUMBER(FIND("o",Table1[Subject - Ch'#])),100*(Table1[Time/Psg]-INT(Table1[Time/Psg])))))/COUNTIF(Table1[Subject - Ch'#], "*o*"),60)</f>
        <v>6.06</v>
      </c>
      <c r="T12" s="51" t="s">
        <v>17</v>
      </c>
    </row>
    <row r="13" spans="1:22" x14ac:dyDescent="0.25">
      <c r="A13" s="13"/>
      <c r="B13" s="14"/>
      <c r="C13" s="14"/>
      <c r="D13" s="14"/>
      <c r="E13" s="15"/>
      <c r="F13" s="16"/>
      <c r="G13" s="15"/>
      <c r="H13" s="17" t="str">
        <f>IF(Table1[[#This Row],[Qs]]&gt;0,(Table1[[#This Row],[Correct]]/Table1[[#This Row],[Qs]]),"")</f>
        <v/>
      </c>
      <c r="I13" s="30"/>
      <c r="J13" s="18" t="str">
        <f>IF(Table1[Time]&gt;0,INT(((60*INT(Table1[Time])+100*MOD(Table1[Time],1))/60)/Table1[[#This Row],[Passages]])+MOD(((60*INT(Table1[Time])+100*MOD(Table1[Time],1))/60)/Table1[[#This Row],[Passages]],1)*0.6,"")</f>
        <v/>
      </c>
      <c r="K13" s="14"/>
      <c r="L13" s="19"/>
      <c r="M13" s="33"/>
      <c r="N13" s="71"/>
      <c r="O13" s="21"/>
    </row>
    <row r="14" spans="1:22" x14ac:dyDescent="0.25">
      <c r="A14" s="13"/>
      <c r="B14" s="14"/>
      <c r="C14" s="14"/>
      <c r="D14" s="14"/>
      <c r="E14" s="15"/>
      <c r="F14" s="16"/>
      <c r="G14" s="15"/>
      <c r="H14" s="17" t="str">
        <f>IF(Table1[[#This Row],[Qs]]&gt;0,(Table1[[#This Row],[Correct]]/Table1[[#This Row],[Qs]]),"")</f>
        <v/>
      </c>
      <c r="I14" s="42"/>
      <c r="J14" s="18" t="str">
        <f>IF(Table1[Time]&gt;0,INT(((60*INT(Table1[Time])+100*MOD(Table1[Time],1))/60)/Table1[[#This Row],[Passages]])+MOD(((60*INT(Table1[Time])+100*MOD(Table1[Time],1))/60)/Table1[[#This Row],[Passages]],1)*0.6,"")</f>
        <v/>
      </c>
      <c r="K14" s="14"/>
      <c r="L14" s="19"/>
      <c r="M14" s="33"/>
      <c r="N14" s="71"/>
      <c r="O14" s="21"/>
    </row>
    <row r="15" spans="1:22" x14ac:dyDescent="0.25">
      <c r="A15" s="13"/>
      <c r="B15" s="14"/>
      <c r="C15" s="14"/>
      <c r="D15" s="14"/>
      <c r="E15" s="15"/>
      <c r="F15" s="16"/>
      <c r="G15" s="15"/>
      <c r="H15" s="17" t="str">
        <f>IF(Table1[[#This Row],[Qs]]&gt;0,(Table1[[#This Row],[Correct]]/Table1[[#This Row],[Qs]]),"")</f>
        <v/>
      </c>
      <c r="I15" s="30"/>
      <c r="J15" s="18" t="str">
        <f>IF(Table1[Time]&gt;0,INT(((60*INT(Table1[Time])+100*MOD(Table1[Time],1))/60)/Table1[[#This Row],[Passages]])+MOD(((60*INT(Table1[Time])+100*MOD(Table1[Time],1))/60)/Table1[[#This Row],[Passages]],1)*0.6,"")</f>
        <v/>
      </c>
      <c r="K15" s="14"/>
      <c r="L15" s="19"/>
      <c r="M15" s="33"/>
      <c r="N15" s="71"/>
      <c r="O15" s="21"/>
      <c r="Q15"/>
      <c r="R15" s="21"/>
    </row>
    <row r="16" spans="1:22" x14ac:dyDescent="0.25">
      <c r="A16" s="13"/>
      <c r="B16" s="14"/>
      <c r="C16" s="14"/>
      <c r="D16" s="14"/>
      <c r="E16" s="15"/>
      <c r="F16" s="16"/>
      <c r="G16" s="15"/>
      <c r="H16" s="17" t="str">
        <f>IF(Table1[[#This Row],[Qs]]&gt;0,(Table1[[#This Row],[Correct]]/Table1[[#This Row],[Qs]]),"")</f>
        <v/>
      </c>
      <c r="I16" s="30"/>
      <c r="J16" s="18" t="str">
        <f>IF(Table1[Time]&gt;0,INT(((60*INT(Table1[Time])+100*MOD(Table1[Time],1))/60)/Table1[[#This Row],[Passages]])+MOD(((60*INT(Table1[Time])+100*MOD(Table1[Time],1))/60)/Table1[[#This Row],[Passages]],1)*0.6,"")</f>
        <v/>
      </c>
      <c r="K16" s="14"/>
      <c r="L16" s="19"/>
      <c r="M16" s="33"/>
      <c r="N16" s="71"/>
      <c r="O16" s="21"/>
      <c r="Q16"/>
      <c r="R16" s="21"/>
    </row>
    <row r="17" spans="1:18" x14ac:dyDescent="0.25">
      <c r="A17" s="13"/>
      <c r="B17" s="14"/>
      <c r="C17" s="14"/>
      <c r="D17" s="14"/>
      <c r="E17" s="15"/>
      <c r="F17" s="16"/>
      <c r="G17" s="15"/>
      <c r="H17" s="17" t="str">
        <f>IF(Table1[[#This Row],[Qs]]&gt;0,(Table1[[#This Row],[Correct]]/Table1[[#This Row],[Qs]]),"")</f>
        <v/>
      </c>
      <c r="I17" s="30"/>
      <c r="J17" s="18" t="str">
        <f>IF(Table1[Time]&gt;0,INT(((60*INT(Table1[Time])+100*MOD(Table1[Time],1))/60)/Table1[[#This Row],[Passages]])+MOD(((60*INT(Table1[Time])+100*MOD(Table1[Time],1))/60)/Table1[[#This Row],[Passages]],1)*0.6,"")</f>
        <v/>
      </c>
      <c r="K17" s="14"/>
      <c r="L17" s="19"/>
      <c r="M17" s="33"/>
      <c r="N17" s="71"/>
      <c r="O17" s="21"/>
      <c r="Q17"/>
      <c r="R17" s="21"/>
    </row>
    <row r="18" spans="1:18" x14ac:dyDescent="0.25">
      <c r="A18" s="13"/>
      <c r="B18" s="14"/>
      <c r="C18" s="14"/>
      <c r="D18" s="14"/>
      <c r="E18" s="15"/>
      <c r="F18" s="16"/>
      <c r="G18" s="15"/>
      <c r="H18" s="17" t="str">
        <f>IF(Table1[[#This Row],[Qs]]&gt;0,(Table1[[#This Row],[Correct]]/Table1[[#This Row],[Qs]]),"")</f>
        <v/>
      </c>
      <c r="I18" s="30"/>
      <c r="J18" s="18" t="str">
        <f>IF(Table1[Time]&gt;0,INT(((60*INT(Table1[Time])+100*MOD(Table1[Time],1))/60)/Table1[[#This Row],[Passages]])+MOD(((60*INT(Table1[Time])+100*MOD(Table1[Time],1))/60)/Table1[[#This Row],[Passages]],1)*0.6,"")</f>
        <v/>
      </c>
      <c r="K18" s="14"/>
      <c r="L18" s="19"/>
      <c r="M18"/>
      <c r="N18" s="71"/>
      <c r="O18" s="21"/>
    </row>
    <row r="19" spans="1:18" x14ac:dyDescent="0.25">
      <c r="A19" s="13"/>
      <c r="B19" s="14"/>
      <c r="C19" s="14"/>
      <c r="D19" s="14"/>
      <c r="E19" s="15"/>
      <c r="F19" s="16"/>
      <c r="G19" s="15"/>
      <c r="H19" s="17" t="str">
        <f>IF(Table1[[#This Row],[Qs]]&gt;0,(Table1[[#This Row],[Correct]]/Table1[[#This Row],[Qs]]),"")</f>
        <v/>
      </c>
      <c r="I19" s="42"/>
      <c r="J19" s="18" t="str">
        <f>IF(Table1[Time]&gt;0,INT(((60*INT(Table1[Time])+100*MOD(Table1[Time],1))/60)/Table1[[#This Row],[Passages]])+MOD(((60*INT(Table1[Time])+100*MOD(Table1[Time],1))/60)/Table1[[#This Row],[Passages]],1)*0.6,"")</f>
        <v/>
      </c>
      <c r="K19" s="14"/>
      <c r="L19" s="19"/>
      <c r="M19"/>
      <c r="N19" s="71"/>
      <c r="O19" s="21"/>
    </row>
    <row r="20" spans="1:18" x14ac:dyDescent="0.25">
      <c r="A20" s="13"/>
      <c r="B20" s="14"/>
      <c r="C20" s="14"/>
      <c r="D20" s="14"/>
      <c r="E20" s="15"/>
      <c r="F20" s="16"/>
      <c r="G20" s="15"/>
      <c r="H20" s="17" t="str">
        <f>IF(Table1[[#This Row],[Qs]]&gt;0,(Table1[[#This Row],[Correct]]/Table1[[#This Row],[Qs]]),"")</f>
        <v/>
      </c>
      <c r="I20" s="42"/>
      <c r="J20" s="18" t="str">
        <f>IF(Table1[Time]&gt;0,INT(((60*INT(Table1[Time])+100*MOD(Table1[Time],1))/60)/Table1[[#This Row],[Passages]])+MOD(((60*INT(Table1[Time])+100*MOD(Table1[Time],1))/60)/Table1[[#This Row],[Passages]],1)*0.6,"")</f>
        <v/>
      </c>
      <c r="K20" s="14"/>
      <c r="L20" s="19"/>
      <c r="M20"/>
      <c r="N20" s="71"/>
      <c r="O20" s="21"/>
    </row>
    <row r="21" spans="1:18" x14ac:dyDescent="0.25">
      <c r="A21" s="13"/>
      <c r="B21" s="14"/>
      <c r="C21" s="14"/>
      <c r="D21" s="14"/>
      <c r="E21" s="15"/>
      <c r="F21" s="16"/>
      <c r="G21" s="15"/>
      <c r="H21" s="17" t="str">
        <f>IF(Table1[[#This Row],[Qs]]&gt;0,(Table1[[#This Row],[Correct]]/Table1[[#This Row],[Qs]]),"")</f>
        <v/>
      </c>
      <c r="I21" s="42"/>
      <c r="J21" s="18" t="str">
        <f>IF(Table1[Time]&gt;0,INT(((60*INT(Table1[Time])+100*MOD(Table1[Time],1))/60)/Table1[[#This Row],[Passages]])+MOD(((60*INT(Table1[Time])+100*MOD(Table1[Time],1))/60)/Table1[[#This Row],[Passages]],1)*0.6,"")</f>
        <v/>
      </c>
      <c r="K21" s="14"/>
      <c r="L21" s="19"/>
      <c r="M21"/>
      <c r="N21" s="71"/>
      <c r="O21" s="21"/>
    </row>
    <row r="22" spans="1:18" x14ac:dyDescent="0.25">
      <c r="A22" s="13"/>
      <c r="B22" s="14"/>
      <c r="C22" s="14"/>
      <c r="D22" s="14"/>
      <c r="E22" s="15"/>
      <c r="F22" s="16"/>
      <c r="G22" s="15"/>
      <c r="H22" s="17" t="str">
        <f>IF(Table1[[#This Row],[Qs]]&gt;0,(Table1[[#This Row],[Correct]]/Table1[[#This Row],[Qs]]),"")</f>
        <v/>
      </c>
      <c r="I22" s="30"/>
      <c r="J22" s="18" t="str">
        <f>IF(Table1[Time]&gt;0,INT(((60*INT(Table1[Time])+100*MOD(Table1[Time],1))/60)/Table1[[#This Row],[Passages]])+MOD(((60*INT(Table1[Time])+100*MOD(Table1[Time],1))/60)/Table1[[#This Row],[Passages]],1)*0.6,"")</f>
        <v/>
      </c>
      <c r="K22" s="14"/>
      <c r="L22" s="19"/>
      <c r="M22"/>
      <c r="N22" s="71"/>
      <c r="O22" s="21"/>
    </row>
    <row r="23" spans="1:18" x14ac:dyDescent="0.25">
      <c r="A23" s="13"/>
      <c r="B23" s="14"/>
      <c r="C23" s="14"/>
      <c r="D23" s="14"/>
      <c r="E23" s="15"/>
      <c r="F23" s="16"/>
      <c r="G23" s="15"/>
      <c r="H23" s="17" t="str">
        <f>IF(Table1[[#This Row],[Qs]]&gt;0,(Table1[[#This Row],[Correct]]/Table1[[#This Row],[Qs]]),"")</f>
        <v/>
      </c>
      <c r="I23" s="30"/>
      <c r="J23" s="18" t="str">
        <f>IF(Table1[Time]&gt;0,INT(((60*INT(Table1[Time])+100*MOD(Table1[Time],1))/60)/Table1[[#This Row],[Passages]])+MOD(((60*INT(Table1[Time])+100*MOD(Table1[Time],1))/60)/Table1[[#This Row],[Passages]],1)*0.6,"")</f>
        <v/>
      </c>
      <c r="K23" s="14"/>
      <c r="L23" s="19"/>
      <c r="M23"/>
      <c r="N23" s="71"/>
      <c r="O23" s="21"/>
    </row>
    <row r="24" spans="1:18" x14ac:dyDescent="0.25">
      <c r="A24" s="13"/>
      <c r="B24" s="14"/>
      <c r="C24" s="14"/>
      <c r="D24" s="14"/>
      <c r="E24" s="15"/>
      <c r="F24" s="16"/>
      <c r="G24" s="15"/>
      <c r="H24" s="17" t="str">
        <f>IF(Table1[[#This Row],[Qs]]&gt;0,(Table1[[#This Row],[Correct]]/Table1[[#This Row],[Qs]]),"")</f>
        <v/>
      </c>
      <c r="I24" s="30"/>
      <c r="J24" s="18" t="str">
        <f>IF(Table1[Time]&gt;0,INT(((60*INT(Table1[Time])+100*MOD(Table1[Time],1))/60)/Table1[[#This Row],[Passages]])+MOD(((60*INT(Table1[Time])+100*MOD(Table1[Time],1))/60)/Table1[[#This Row],[Passages]],1)*0.6,"")</f>
        <v/>
      </c>
      <c r="K24" s="14"/>
      <c r="L24" s="19"/>
      <c r="M24"/>
      <c r="N24" s="71"/>
      <c r="O24" s="21"/>
    </row>
    <row r="25" spans="1:18" x14ac:dyDescent="0.25">
      <c r="A25" s="13"/>
      <c r="B25" s="14"/>
      <c r="C25" s="14"/>
      <c r="D25" s="14"/>
      <c r="E25" s="15"/>
      <c r="F25" s="16"/>
      <c r="G25" s="15"/>
      <c r="H25" s="17" t="str">
        <f>IF(Table1[[#This Row],[Qs]]&gt;0,(Table1[[#This Row],[Correct]]/Table1[[#This Row],[Qs]]),"")</f>
        <v/>
      </c>
      <c r="I25" s="30"/>
      <c r="J25" s="18" t="str">
        <f>IF(Table1[Time]&gt;0,INT(((60*INT(Table1[Time])+100*MOD(Table1[Time],1))/60)/Table1[[#This Row],[Passages]])+MOD(((60*INT(Table1[Time])+100*MOD(Table1[Time],1))/60)/Table1[[#This Row],[Passages]],1)*0.6,"")</f>
        <v/>
      </c>
      <c r="K25" s="14"/>
      <c r="L25" s="19"/>
      <c r="M25"/>
      <c r="N25" s="71"/>
      <c r="O25" s="21"/>
    </row>
    <row r="26" spans="1:18" x14ac:dyDescent="0.25">
      <c r="A26" s="13"/>
      <c r="B26" s="14"/>
      <c r="C26" s="14"/>
      <c r="D26" s="14"/>
      <c r="E26" s="15"/>
      <c r="F26" s="16"/>
      <c r="G26" s="15"/>
      <c r="H26" s="17" t="str">
        <f>IF(Table1[[#This Row],[Qs]]&gt;0,(Table1[[#This Row],[Correct]]/Table1[[#This Row],[Qs]]),"")</f>
        <v/>
      </c>
      <c r="I26" s="52"/>
      <c r="J26" s="18" t="str">
        <f>IF(Table1[Time]&gt;0,INT(((60*INT(Table1[Time])+100*MOD(Table1[Time],1))/60)/Table1[[#This Row],[Passages]])+MOD(((60*INT(Table1[Time])+100*MOD(Table1[Time],1))/60)/Table1[[#This Row],[Passages]],1)*0.6,"")</f>
        <v/>
      </c>
      <c r="K26" s="14"/>
      <c r="L26" s="19"/>
      <c r="M26"/>
      <c r="N26" s="72"/>
      <c r="O26" s="21"/>
      <c r="Q26"/>
      <c r="R26" s="21"/>
    </row>
    <row r="27" spans="1:18" x14ac:dyDescent="0.25">
      <c r="A27" s="13"/>
      <c r="B27" s="14"/>
      <c r="C27" s="14"/>
      <c r="D27" s="14"/>
      <c r="E27" s="15"/>
      <c r="F27" s="16"/>
      <c r="G27" s="15"/>
      <c r="H27" s="17" t="str">
        <f>IF(Table1[[#This Row],[Qs]]&gt;0,(Table1[[#This Row],[Correct]]/Table1[[#This Row],[Qs]]),"")</f>
        <v/>
      </c>
      <c r="I27" s="52"/>
      <c r="J27" s="18" t="str">
        <f>IF(Table1[Time]&gt;0,INT(((60*INT(Table1[Time])+100*MOD(Table1[Time],1))/60)/Table1[[#This Row],[Passages]])+MOD(((60*INT(Table1[Time])+100*MOD(Table1[Time],1))/60)/Table1[[#This Row],[Passages]],1)*0.6,"")</f>
        <v/>
      </c>
      <c r="K27" s="14"/>
      <c r="L27" s="19"/>
      <c r="M27"/>
      <c r="N27" s="72"/>
      <c r="O27" s="21"/>
      <c r="Q27"/>
      <c r="R27" s="21"/>
    </row>
    <row r="28" spans="1:18" x14ac:dyDescent="0.25">
      <c r="A28" s="13"/>
      <c r="B28" s="14"/>
      <c r="C28" s="14"/>
      <c r="D28" s="14"/>
      <c r="E28" s="15"/>
      <c r="F28" s="16"/>
      <c r="G28" s="15"/>
      <c r="H28" s="17" t="str">
        <f>IF(Table1[[#This Row],[Qs]]&gt;0,(Table1[[#This Row],[Correct]]/Table1[[#This Row],[Qs]]),"")</f>
        <v/>
      </c>
      <c r="I28" s="75"/>
      <c r="J28" s="18" t="str">
        <f>IF(Table1[Time]&gt;0,INT(((60*INT(Table1[Time])+100*MOD(Table1[Time],1))/60)/Table1[[#This Row],[Passages]])+MOD(((60*INT(Table1[Time])+100*MOD(Table1[Time],1))/60)/Table1[[#This Row],[Passages]],1)*0.6,"")</f>
        <v/>
      </c>
      <c r="K28" s="14"/>
      <c r="L28" s="19"/>
      <c r="M28"/>
      <c r="N28" s="72"/>
      <c r="O28" s="21"/>
      <c r="Q28"/>
      <c r="R28" s="21"/>
    </row>
    <row r="29" spans="1:18" x14ac:dyDescent="0.25">
      <c r="A29" s="13"/>
      <c r="B29" s="14"/>
      <c r="C29" s="14"/>
      <c r="D29" s="14"/>
      <c r="E29" s="15"/>
      <c r="F29" s="16"/>
      <c r="G29" s="15"/>
      <c r="H29" s="17" t="str">
        <f>IF(Table1[[#This Row],[Qs]]&gt;0,(Table1[[#This Row],[Correct]]/Table1[[#This Row],[Qs]]),"")</f>
        <v/>
      </c>
      <c r="I29" s="75"/>
      <c r="J29" s="18" t="str">
        <f>IF(Table1[Time]&gt;0,INT(((60*INT(Table1[Time])+100*MOD(Table1[Time],1))/60)/Table1[[#This Row],[Passages]])+MOD(((60*INT(Table1[Time])+100*MOD(Table1[Time],1))/60)/Table1[[#This Row],[Passages]],1)*0.6,"")</f>
        <v/>
      </c>
      <c r="K29" s="14"/>
      <c r="L29" s="19"/>
      <c r="M29"/>
      <c r="N29" s="72"/>
      <c r="O29" s="21"/>
      <c r="Q29"/>
      <c r="R29" s="21"/>
    </row>
    <row r="30" spans="1:18" x14ac:dyDescent="0.25">
      <c r="A30" s="13"/>
      <c r="B30" s="14"/>
      <c r="C30" s="14"/>
      <c r="D30" s="14"/>
      <c r="E30" s="15"/>
      <c r="F30" s="16"/>
      <c r="G30" s="15"/>
      <c r="H30" s="17" t="str">
        <f>IF(Table1[[#This Row],[Qs]]&gt;0,(Table1[[#This Row],[Correct]]/Table1[[#This Row],[Qs]]),"")</f>
        <v/>
      </c>
      <c r="I30" s="75"/>
      <c r="J30" s="18" t="str">
        <f>IF(Table1[Time]&gt;0,INT(((60*INT(Table1[Time])+100*MOD(Table1[Time],1))/60)/Table1[[#This Row],[Passages]])+MOD(((60*INT(Table1[Time])+100*MOD(Table1[Time],1))/60)/Table1[[#This Row],[Passages]],1)*0.6,"")</f>
        <v/>
      </c>
      <c r="K30" s="14"/>
      <c r="L30" s="19"/>
      <c r="M30"/>
      <c r="N30" s="72"/>
      <c r="O30" s="21"/>
      <c r="Q30"/>
      <c r="R30" s="21"/>
    </row>
    <row r="31" spans="1:18" x14ac:dyDescent="0.25">
      <c r="A31" s="13"/>
      <c r="B31" s="14"/>
      <c r="C31" s="14"/>
      <c r="D31" s="14"/>
      <c r="E31" s="15"/>
      <c r="F31" s="16"/>
      <c r="G31" s="15"/>
      <c r="H31" s="17" t="str">
        <f>IF(Table1[[#This Row],[Qs]]&gt;0,(Table1[[#This Row],[Correct]]/Table1[[#This Row],[Qs]]),"")</f>
        <v/>
      </c>
      <c r="I31" s="75"/>
      <c r="J31" s="18" t="str">
        <f>IF(Table1[Time]&gt;0,INT(((60*INT(Table1[Time])+100*MOD(Table1[Time],1))/60)/Table1[[#This Row],[Passages]])+MOD(((60*INT(Table1[Time])+100*MOD(Table1[Time],1))/60)/Table1[[#This Row],[Passages]],1)*0.6,"")</f>
        <v/>
      </c>
      <c r="K31" s="14"/>
      <c r="L31" s="19"/>
      <c r="M31"/>
      <c r="N31" s="72"/>
      <c r="O31" s="21"/>
      <c r="Q31"/>
      <c r="R31" s="21"/>
    </row>
    <row r="32" spans="1:18" x14ac:dyDescent="0.25">
      <c r="A32" s="13"/>
      <c r="B32" s="14"/>
      <c r="C32" s="14"/>
      <c r="D32" s="14"/>
      <c r="E32" s="15"/>
      <c r="F32" s="16"/>
      <c r="G32" s="15"/>
      <c r="H32" s="17" t="str">
        <f>IF(Table1[[#This Row],[Qs]]&gt;0,(Table1[[#This Row],[Correct]]/Table1[[#This Row],[Qs]]),"")</f>
        <v/>
      </c>
      <c r="I32" s="75"/>
      <c r="J32" s="18" t="str">
        <f>IF(Table1[Time]&gt;0,INT(((60*INT(Table1[Time])+100*MOD(Table1[Time],1))/60)/Table1[[#This Row],[Passages]])+MOD(((60*INT(Table1[Time])+100*MOD(Table1[Time],1))/60)/Table1[[#This Row],[Passages]],1)*0.6,"")</f>
        <v/>
      </c>
      <c r="K32" s="14"/>
      <c r="L32" s="19"/>
      <c r="M32"/>
      <c r="N32" s="72"/>
      <c r="O32" s="21"/>
      <c r="Q32"/>
      <c r="R32" s="21"/>
    </row>
    <row r="33" spans="1:20" x14ac:dyDescent="0.25">
      <c r="A33" s="13"/>
      <c r="B33" s="14"/>
      <c r="C33" s="14"/>
      <c r="D33" s="14"/>
      <c r="E33" s="15"/>
      <c r="F33" s="16"/>
      <c r="G33" s="15"/>
      <c r="H33" s="17" t="str">
        <f>IF(Table1[[#This Row],[Qs]]&gt;0,(Table1[[#This Row],[Correct]]/Table1[[#This Row],[Qs]]),"")</f>
        <v/>
      </c>
      <c r="I33" s="52"/>
      <c r="J33" s="18" t="str">
        <f>IF(Table1[Time]&gt;0,INT(((60*INT(Table1[Time])+100*MOD(Table1[Time],1))/60)/Table1[[#This Row],[Passages]])+MOD(((60*INT(Table1[Time])+100*MOD(Table1[Time],1))/60)/Table1[[#This Row],[Passages]],1)*0.6,"")</f>
        <v/>
      </c>
      <c r="K33" s="14"/>
      <c r="L33" s="19"/>
      <c r="M33"/>
      <c r="N33" s="72"/>
      <c r="O33" s="21"/>
      <c r="Q33" s="22" t="s">
        <v>16</v>
      </c>
      <c r="R33" s="23" t="e">
        <f t="array" ref="R33">AVERAGE(IF(Table1[Score%]&gt;0,Table1[Correct]/Table1[Qs]))</f>
        <v>#DIV/0!</v>
      </c>
      <c r="S33" s="24">
        <f t="array" ref="S33">INT((60*SUM(IF(Table1[Subject - Ch'#]&gt;0,INT(Table1[Time/Psg])))+SUM(IF(Table1[Subject - Ch'#]&gt;0,100*(Table1[Time/Psg]-INT(Table1[Time/Psg])))))/COUNTIF(Table1[Subject - Ch'#], "*")/60)+0.01*MOD((60*SUM(IF(Table1[Subject - Ch'#]&gt;0,INT(Table1[Time/Psg])))+SUM(IF(Table1[Subject - Ch'#]&gt;0,100*(Table1[Time/Psg]-INT(Table1[Time/Psg])))))/COUNTIF(Table1[Subject - Ch'#], "*"),60)</f>
        <v>6.0154285714285711</v>
      </c>
      <c r="T33" s="25" t="s">
        <v>17</v>
      </c>
    </row>
    <row r="34" spans="1:20" x14ac:dyDescent="0.25">
      <c r="A34" s="13"/>
      <c r="B34" s="14"/>
      <c r="C34" s="14"/>
      <c r="D34" s="14"/>
      <c r="E34" s="15"/>
      <c r="F34" s="16"/>
      <c r="G34" s="15"/>
      <c r="H34" s="17" t="str">
        <f>IF(Table1[[#This Row],[Qs]]&gt;0,(Table1[[#This Row],[Correct]]/Table1[[#This Row],[Qs]]),"")</f>
        <v/>
      </c>
      <c r="I34" s="52"/>
      <c r="J34" s="18" t="str">
        <f>IF(Table1[Time]&gt;0,INT(((60*INT(Table1[Time])+100*MOD(Table1[Time],1))/60)/Table1[[#This Row],[Passages]])+MOD(((60*INT(Table1[Time])+100*MOD(Table1[Time],1))/60)/Table1[[#This Row],[Passages]],1)*0.6,"")</f>
        <v/>
      </c>
      <c r="K34" s="14"/>
      <c r="L34" s="19"/>
      <c r="M34"/>
      <c r="N34" s="72"/>
      <c r="O34" s="21"/>
      <c r="Q34" s="26" t="s">
        <v>18</v>
      </c>
      <c r="R34" s="27">
        <f t="array" ref="R34">AVERAGE(IF(ISNUMBER(FIND("Phys",Table1[Subject - Ch'#])),Table1[Correct]/Table1[Qs]))</f>
        <v>0.5714285714285714</v>
      </c>
      <c r="S34" s="28">
        <f t="array" ref="S34">INT((60*SUM(IF(ISNUMBER(FIND("Phy",Table1[Subject - Ch'#])),INT(Table1[Time/Psg])))+SUM(IF(ISNUMBER(FIND("Phy",Table1[Subject - Ch'#])),100*(Table1[Time/Psg]-INT(Table1[Time/Psg])))))/COUNTIF(Table1[Subject - Ch'#], "*Phy*")/60)+0.01*MOD((60*SUM(IF(ISNUMBER(FIND("Phy",Table1[Subject - Ch'#])),INT(Table1[Time/Psg])))+SUM(IF(ISNUMBER(FIND("Phy",Table1[Subject - Ch'#])),100*(Table1[Time/Psg]-INT(Table1[Time/Psg])))))/COUNTIF(Table1[Subject - Ch'#], "*Phy*"),60)</f>
        <v>6.3599999999999994</v>
      </c>
      <c r="T34" s="29" t="s">
        <v>17</v>
      </c>
    </row>
    <row r="35" spans="1:20" x14ac:dyDescent="0.25">
      <c r="A35" s="13"/>
      <c r="B35" s="14"/>
      <c r="C35" s="14"/>
      <c r="D35" s="14"/>
      <c r="E35" s="15"/>
      <c r="F35" s="16"/>
      <c r="G35" s="15"/>
      <c r="H35" s="17" t="str">
        <f>IF(Table1[[#This Row],[Qs]]&gt;0,(Table1[[#This Row],[Correct]]/Table1[[#This Row],[Qs]]),"")</f>
        <v/>
      </c>
      <c r="I35" s="52"/>
      <c r="J35" s="18" t="str">
        <f>IF(Table1[Time]&gt;0,INT(((60*INT(Table1[Time])+100*MOD(Table1[Time],1))/60)/Table1[[#This Row],[Passages]])+MOD(((60*INT(Table1[Time])+100*MOD(Table1[Time],1))/60)/Table1[[#This Row],[Passages]],1)*0.6,"")</f>
        <v/>
      </c>
      <c r="K35" s="14"/>
      <c r="L35" s="19"/>
      <c r="M35"/>
      <c r="N35" s="72"/>
      <c r="O35" s="21"/>
      <c r="Q35" s="32" t="s">
        <v>19</v>
      </c>
      <c r="R35" s="27">
        <f t="array" ref="R35">AVERAGE(IF(ISNUMBER(FIND("Chem",Table1[Subject - Ch'#])),Table1[Score%]))</f>
        <v>0.7142857142857143</v>
      </c>
      <c r="S35" s="28">
        <f t="array" ref="S35">INT((60*SUM(IF(ISNUMBER(FIND("Chem",Table1[Subject - Ch'#])),INT(Table1[Time/Psg])))+SUM(IF(ISNUMBER(FIND("Chem",Table1[Subject - Ch'#])),100*(Table1[Time/Psg]-INT(Table1[Time/Psg])))))/COUNTIF(Table1[Subject - Ch'#], "*Chem*")/60)+0.01*MOD((60*SUM(IF(ISNUMBER(FIND("Chem",Table1[Subject - Ch'#])),INT(Table1[Time/Psg])))+SUM(IF(ISNUMBER(FIND("Chem",Table1[Subject - Ch'#])),100*(Table1[Time/Psg]-INT(Table1[Time/Psg])))))/COUNTIF(Table1[Subject - Ch'#], "*Chem*"),60)</f>
        <v>6.24</v>
      </c>
      <c r="T35" s="29" t="s">
        <v>17</v>
      </c>
    </row>
    <row r="36" spans="1:20" x14ac:dyDescent="0.25">
      <c r="A36" s="13"/>
      <c r="B36" s="14"/>
      <c r="C36" s="14"/>
      <c r="D36" s="14"/>
      <c r="E36" s="15"/>
      <c r="F36" s="16"/>
      <c r="G36" s="15"/>
      <c r="H36" s="53" t="str">
        <f>IF(Table1[[#This Row],[Qs]]&gt;0,(Table1[[#This Row],[Correct]]/Table1[[#This Row],[Qs]]),"")</f>
        <v/>
      </c>
      <c r="I36" s="75"/>
      <c r="J36" s="18" t="str">
        <f>IF(Table1[Time]&gt;0,INT(((60*INT(Table1[Time])+100*MOD(Table1[Time],1))/60)/Table1[[#This Row],[Passages]])+MOD(((60*INT(Table1[Time])+100*MOD(Table1[Time],1))/60)/Table1[[#This Row],[Passages]],1)*0.6,"")</f>
        <v/>
      </c>
      <c r="K36" s="14"/>
      <c r="L36" s="19"/>
      <c r="M36"/>
      <c r="N36" s="72"/>
      <c r="O36" s="21"/>
      <c r="Q36" s="34" t="s">
        <v>20</v>
      </c>
      <c r="R36" s="35">
        <f t="array" ref="R36">AVERAGE(IF(ISNUMBER(FIND("h",Table1[Subject - Ch'#])),Table1[Score%]))</f>
        <v>0.64285714285714279</v>
      </c>
      <c r="S36" s="36">
        <f t="array" ref="S36">INT((60*SUM(IF(ISNUMBER(FIND("h",Table1[Subject - Ch'#])),INT(Table1[Time/Psg])))+SUM(IF(ISNUMBER(FIND("h",Table1[Subject - Ch'#])),100*(Table1[Time/Psg]-INT(Table1[Time/Psg])))))/COUNTIF(Table1[Subject - Ch'#], "*h*")/60)+0.01*MOD((60*SUM(IF(ISNUMBER(FIND("h",Table1[Subject - Ch'#])),INT(Table1[Time/Psg])))+SUM(IF(ISNUMBER(FIND("h",Table1[Subject - Ch'#])),100*(Table1[Time/Psg]-INT(Table1[Time/Psg])))))/COUNTIF(Table1[Subject - Ch'#], "*h*"),60)</f>
        <v>6.3</v>
      </c>
      <c r="T36" s="37" t="s">
        <v>17</v>
      </c>
    </row>
    <row r="37" spans="1:20" x14ac:dyDescent="0.25">
      <c r="A37" s="13"/>
      <c r="B37" s="14"/>
      <c r="C37" s="14"/>
      <c r="D37" s="14"/>
      <c r="E37" s="15"/>
      <c r="F37" s="16"/>
      <c r="G37" s="15"/>
      <c r="H37" s="17" t="str">
        <f>IF(Table1[[#This Row],[Qs]]&gt;0,(Table1[[#This Row],[Correct]]/Table1[[#This Row],[Qs]]),"")</f>
        <v/>
      </c>
      <c r="I37" s="75"/>
      <c r="J37" s="18" t="str">
        <f>IF(Table1[Time]&gt;0,INT(((60*INT(Table1[Time])+100*MOD(Table1[Time],1))/60)/Table1[[#This Row],[Passages]])+MOD(((60*INT(Table1[Time])+100*MOD(Table1[Time],1))/60)/Table1[[#This Row],[Passages]],1)*0.6,"")</f>
        <v/>
      </c>
      <c r="K37" s="14"/>
      <c r="L37" s="19"/>
      <c r="M37"/>
      <c r="N37" s="73"/>
      <c r="O37" s="21"/>
      <c r="Q37" s="38" t="s">
        <v>21</v>
      </c>
      <c r="R37" s="39">
        <f t="array" ref="R37">AVERAGE(IF(ISNUMBER(FIND("VR",Table1[Subject - Ch'#])),Table1[Correct]/Table1[Qs]))</f>
        <v>0.82499999999999996</v>
      </c>
      <c r="S37" s="40">
        <f t="array" ref="S37">INT((60*SUM(IF(Table1[Subject - Ch'#]="VR",INT(Table1[Time/Psg])))+SUM(IF(Table1[Subject - Ch'#]="VR",100*(Table1[Time/Psg]-INT(Table1[Time/Psg])))))/COUNTIF(Table1[Subject - Ch'#], "VR")/60)+0.01*MOD((60*SUM(IF(Table1[Subject - Ch'#]="VR",INT(Table1[Time/Psg])))+SUM(IF(Table1[Subject - Ch'#]="VR",100*(Table1[Time/Psg]-INT(Table1[Time/Psg])))))/COUNTIF(Table1[Subject - Ch'#], "VR"),60)</f>
        <v>4.5571428571428569</v>
      </c>
      <c r="T37" s="41" t="s">
        <v>17</v>
      </c>
    </row>
    <row r="38" spans="1:20" x14ac:dyDescent="0.25">
      <c r="A38" s="13"/>
      <c r="B38" s="14"/>
      <c r="C38" s="14"/>
      <c r="D38" s="14"/>
      <c r="E38" s="15"/>
      <c r="F38" s="16"/>
      <c r="G38" s="15"/>
      <c r="H38" s="17" t="str">
        <f>IF(Table1[[#This Row],[Qs]]&gt;0,(Table1[[#This Row],[Correct]]/Table1[[#This Row],[Qs]]),"")</f>
        <v/>
      </c>
      <c r="I38" s="75"/>
      <c r="J38" s="18" t="str">
        <f>IF(Table1[Time]&gt;0,INT(((60*INT(Table1[Time])+100*MOD(Table1[Time],1))/60)/Table1[[#This Row],[Passages]])+MOD(((60*INT(Table1[Time])+100*MOD(Table1[Time],1))/60)/Table1[[#This Row],[Passages]],1)*0.6,"")</f>
        <v/>
      </c>
      <c r="K38" s="14"/>
      <c r="L38" s="19"/>
      <c r="M38"/>
      <c r="N38" s="73"/>
      <c r="O38" s="21"/>
      <c r="Q38" s="43" t="s">
        <v>23</v>
      </c>
      <c r="R38" s="44">
        <f t="array" ref="R38">AVERAGE(IF(ISNUMBER(FIND("Bio",Table1[Subject - Ch'#])),Table1[Correct]/Table1[Qs]))</f>
        <v>0.8571428571428571</v>
      </c>
      <c r="S38" s="45">
        <f t="array" ref="S38">INT((60*SUM(IF(ISNUMBER(FIND("Bio",Table1[Subject - Ch'#])),INT(Table1[Time/Psg])))+SUM(IF(ISNUMBER(FIND("Bio",Table1[Subject - Ch'#])),100*(Table1[Time/Psg]-INT(Table1[Time/Psg])))))/COUNTIF(Table1[Subject - Ch'#], "*Bio*")/60)+0.01*MOD((60*SUM(IF(ISNUMBER(FIND("Bio",Table1[Subject - Ch'#])),INT(Table1[Time/Psg])))+SUM(IF(ISNUMBER(FIND("Bio",Table1[Subject - Ch'#])),100*(Table1[Time/Psg]-INT(Table1[Time/Psg])))))/COUNTIF(Table1[Subject - Ch'#], "*Bio*"),60)</f>
        <v>6.12</v>
      </c>
      <c r="T38" s="46" t="s">
        <v>17</v>
      </c>
    </row>
    <row r="39" spans="1:20" x14ac:dyDescent="0.25">
      <c r="A39" s="13"/>
      <c r="B39" s="14"/>
      <c r="C39" s="14"/>
      <c r="D39" s="14"/>
      <c r="E39" s="15"/>
      <c r="F39" s="16"/>
      <c r="G39" s="15"/>
      <c r="H39" s="17" t="str">
        <f>IF(Table1[[#This Row],[Qs]]&gt;0,(Table1[[#This Row],[Correct]]/Table1[[#This Row],[Qs]]),"")</f>
        <v/>
      </c>
      <c r="I39" s="75"/>
      <c r="J39" s="18" t="str">
        <f>IF(Table1[Time]&gt;0,INT(((60*INT(Table1[Time])+100*MOD(Table1[Time],1))/60)/Table1[[#This Row],[Passages]])+MOD(((60*INT(Table1[Time])+100*MOD(Table1[Time],1))/60)/Table1[[#This Row],[Passages]],1)*0.6,"")</f>
        <v/>
      </c>
      <c r="K39" s="14"/>
      <c r="L39" s="19"/>
      <c r="Q39" s="47" t="s">
        <v>24</v>
      </c>
      <c r="R39" s="44">
        <f t="array" ref="R39">AVERAGE(IF(ISNUMBER(FIND("Orgo",Table1[Subject - Ch'#])),Table1[Correct]/Table1[Qs]))</f>
        <v>1</v>
      </c>
      <c r="S39" s="45">
        <f t="array" ref="S39">INT((60*SUM(IF(ISNUMBER(FIND("Org",Table1[Subject - Ch'#])),INT(Table1[Time/Psg])))+SUM(IF(ISNUMBER(FIND("Org",Table1[Subject - Ch'#])),100*(Table1[Time/Psg]-INT(Table1[Time/Psg])))))/COUNTIF(Table1[Subject - Ch'#], "*Org*")/60)+0.01*MOD((60*SUM(IF(ISNUMBER(FIND("Orgo",Table1[Subject - Ch'#])),INT(Table1[Time/Psg])))+SUM(IF(ISNUMBER(FIND("Orgo",Table1[Subject - Ch'#])),100*(Table1[Time/Psg]-INT(Table1[Time/Psg])))))/COUNTIF(Table1[Subject - Ch'#], "*Orgo*"),60)</f>
        <v>6</v>
      </c>
      <c r="T39" s="46" t="s">
        <v>17</v>
      </c>
    </row>
    <row r="40" spans="1:20" x14ac:dyDescent="0.25">
      <c r="A40" s="13"/>
      <c r="B40" s="14"/>
      <c r="C40" s="14"/>
      <c r="D40" s="14"/>
      <c r="E40" s="15"/>
      <c r="F40" s="16"/>
      <c r="G40" s="15"/>
      <c r="H40" s="17" t="str">
        <f>IF(Table1[[#This Row],[Qs]]&gt;0,(Table1[[#This Row],[Correct]]/Table1[[#This Row],[Qs]]),"")</f>
        <v/>
      </c>
      <c r="I40" s="75"/>
      <c r="J40" s="18" t="str">
        <f>IF(Table1[Time]&gt;0,INT(((60*INT(Table1[Time])+100*MOD(Table1[Time],1))/60)/Table1[[#This Row],[Passages]])+MOD(((60*INT(Table1[Time])+100*MOD(Table1[Time],1))/60)/Table1[[#This Row],[Passages]],1)*0.6,"")</f>
        <v/>
      </c>
      <c r="K40" s="14"/>
      <c r="L40" s="19"/>
      <c r="Q40" s="48" t="s">
        <v>25</v>
      </c>
      <c r="R40" s="49">
        <f t="array" ref="R40">AVERAGE(IF(ISNUMBER(FIND("o",Table1[Subject - Ch'#])),Table1[Correct]/Table1[Qs]))</f>
        <v>0.9285714285714286</v>
      </c>
      <c r="S40" s="50">
        <f t="array" ref="S40">INT((60*SUM(IF(ISNUMBER(FIND("o",Table1[Subject - Ch'#])),INT(Table1[Time/Psg])))+SUM(IF(ISNUMBER(FIND("o",Table1[Subject - Ch'#])),100*(Table1[Time/Psg]-INT(Table1[Time/Psg])))))/COUNTIF(Table1[Subject - Ch'#], "*o*")/60)+0.01*MOD((60*SUM(IF(ISNUMBER(FIND("o",Table1[Subject - Ch'#])),INT(Table1[Time/Psg])))+SUM(IF(ISNUMBER(FIND("o",Table1[Subject - Ch'#])),100*(Table1[Time/Psg]-INT(Table1[Time/Psg])))))/COUNTIF(Table1[Subject - Ch'#], "*o*"),60)</f>
        <v>6.06</v>
      </c>
      <c r="T40" s="51" t="s">
        <v>17</v>
      </c>
    </row>
    <row r="41" spans="1:20" x14ac:dyDescent="0.25">
      <c r="A41" s="13"/>
      <c r="B41" s="14"/>
      <c r="C41" s="14"/>
      <c r="D41" s="14"/>
      <c r="E41" s="15"/>
      <c r="F41" s="16"/>
      <c r="G41" s="15"/>
      <c r="H41" s="17" t="str">
        <f>IF(Table1[[#This Row],[Qs]]&gt;0,(Table1[[#This Row],[Correct]]/Table1[[#This Row],[Qs]]),"")</f>
        <v/>
      </c>
      <c r="I41" s="75"/>
      <c r="J41" s="18" t="str">
        <f>IF(Table1[Time]&gt;0,INT(((60*INT(Table1[Time])+100*MOD(Table1[Time],1))/60)/Table1[[#This Row],[Passages]])+MOD(((60*INT(Table1[Time])+100*MOD(Table1[Time],1))/60)/Table1[[#This Row],[Passages]],1)*0.6,"")</f>
        <v/>
      </c>
      <c r="K41" s="14"/>
      <c r="L41" s="19"/>
    </row>
    <row r="42" spans="1:20" x14ac:dyDescent="0.25">
      <c r="A42" s="13"/>
      <c r="B42" s="14"/>
      <c r="C42" s="14"/>
      <c r="D42" s="14"/>
      <c r="E42" s="15"/>
      <c r="F42" s="16"/>
      <c r="G42" s="15"/>
      <c r="H42" s="17" t="str">
        <f>IF(Table1[[#This Row],[Qs]]&gt;0,(Table1[[#This Row],[Correct]]/Table1[[#This Row],[Qs]]),"")</f>
        <v/>
      </c>
      <c r="I42" s="75"/>
      <c r="J42" s="18" t="str">
        <f>IF(Table1[Time]&gt;0,INT(((60*INT(Table1[Time])+100*MOD(Table1[Time],1))/60)/Table1[[#This Row],[Passages]])+MOD(((60*INT(Table1[Time])+100*MOD(Table1[Time],1))/60)/Table1[[#This Row],[Passages]],1)*0.6,"")</f>
        <v/>
      </c>
      <c r="K42" s="14"/>
      <c r="L42" s="19"/>
    </row>
    <row r="43" spans="1:20" x14ac:dyDescent="0.25">
      <c r="A43" s="13"/>
      <c r="B43" s="14"/>
      <c r="C43" s="14"/>
      <c r="D43" s="14"/>
      <c r="E43" s="15"/>
      <c r="F43" s="16"/>
      <c r="G43" s="15"/>
      <c r="H43" s="17" t="str">
        <f>IF(Table1[[#This Row],[Qs]]&gt;0,(Table1[[#This Row],[Correct]]/Table1[[#This Row],[Qs]]),"")</f>
        <v/>
      </c>
      <c r="I43" s="52"/>
      <c r="J43" s="18" t="str">
        <f>IF(Table1[Time]&gt;0,INT(((60*INT(Table1[Time])+100*MOD(Table1[Time],1))/60)/Table1[[#This Row],[Passages]])+MOD(((60*INT(Table1[Time])+100*MOD(Table1[Time],1))/60)/Table1[[#This Row],[Passages]],1)*0.6,"")</f>
        <v/>
      </c>
      <c r="K43" s="14"/>
      <c r="L43" s="19"/>
    </row>
    <row r="44" spans="1:20" x14ac:dyDescent="0.25">
      <c r="A44" s="13"/>
      <c r="B44" s="14"/>
      <c r="C44" s="14"/>
      <c r="D44" s="14"/>
      <c r="E44" s="15"/>
      <c r="F44" s="16"/>
      <c r="G44" s="15"/>
      <c r="H44" s="17" t="str">
        <f>IF(Table1[[#This Row],[Qs]]&gt;0,(Table1[[#This Row],[Correct]]/Table1[[#This Row],[Qs]]),"")</f>
        <v/>
      </c>
      <c r="I44" s="52"/>
      <c r="J44" s="18" t="str">
        <f>IF(Table1[Time]&gt;0,INT(((60*INT(Table1[Time])+100*MOD(Table1[Time],1))/60)/Table1[[#This Row],[Passages]])+MOD(((60*INT(Table1[Time])+100*MOD(Table1[Time],1))/60)/Table1[[#This Row],[Passages]],1)*0.6,"")</f>
        <v/>
      </c>
      <c r="K44" s="14"/>
      <c r="L44" s="19"/>
    </row>
    <row r="45" spans="1:20" x14ac:dyDescent="0.25">
      <c r="A45" s="13"/>
      <c r="B45" s="14"/>
      <c r="C45" s="14"/>
      <c r="D45" s="14"/>
      <c r="E45" s="15"/>
      <c r="F45" s="16"/>
      <c r="G45" s="15"/>
      <c r="H45" s="17" t="str">
        <f>IF(Table1[[#This Row],[Qs]]&gt;0,(Table1[[#This Row],[Correct]]/Table1[[#This Row],[Qs]]),"")</f>
        <v/>
      </c>
      <c r="I45" s="52"/>
      <c r="J45" s="18" t="str">
        <f>IF(Table1[Time]&gt;0,INT(((60*INT(Table1[Time])+100*MOD(Table1[Time],1))/60)/Table1[[#This Row],[Passages]])+MOD(((60*INT(Table1[Time])+100*MOD(Table1[Time],1))/60)/Table1[[#This Row],[Passages]],1)*0.6,"")</f>
        <v/>
      </c>
      <c r="K45" s="14"/>
      <c r="L45" s="19"/>
    </row>
    <row r="46" spans="1:20" x14ac:dyDescent="0.25">
      <c r="A46" s="13"/>
      <c r="B46" s="14"/>
      <c r="C46" s="14"/>
      <c r="D46" s="14"/>
      <c r="E46" s="15"/>
      <c r="F46" s="16"/>
      <c r="G46" s="15"/>
      <c r="H46" s="17" t="str">
        <f>IF(Table1[[#This Row],[Qs]]&gt;0,(Table1[[#This Row],[Correct]]/Table1[[#This Row],[Qs]]),"")</f>
        <v/>
      </c>
      <c r="I46" s="18"/>
      <c r="J46" s="18" t="str">
        <f>IF(Table1[Time]&gt;0,INT(((60*INT(Table1[Time])+100*MOD(Table1[Time],1))/60)/Table1[[#This Row],[Passages]])+MOD(((60*INT(Table1[Time])+100*MOD(Table1[Time],1))/60)/Table1[[#This Row],[Passages]],1)*0.6,"")</f>
        <v/>
      </c>
      <c r="K46" s="14"/>
      <c r="L46" s="19"/>
    </row>
    <row r="47" spans="1:20" x14ac:dyDescent="0.25">
      <c r="A47" s="13"/>
      <c r="B47" s="14"/>
      <c r="C47" s="14"/>
      <c r="D47" s="14"/>
      <c r="E47" s="15"/>
      <c r="F47" s="16"/>
      <c r="G47" s="15"/>
      <c r="H47" s="17" t="str">
        <f>IF(Table1[[#This Row],[Qs]]&gt;0,(Table1[[#This Row],[Correct]]/Table1[[#This Row],[Qs]]),"")</f>
        <v/>
      </c>
      <c r="I47" s="18"/>
      <c r="J47" s="18" t="str">
        <f>IF(Table1[Time]&gt;0,INT(((60*INT(Table1[Time])+100*MOD(Table1[Time],1))/60)/Table1[[#This Row],[Passages]])+MOD(((60*INT(Table1[Time])+100*MOD(Table1[Time],1))/60)/Table1[[#This Row],[Passages]],1)*0.6,"")</f>
        <v/>
      </c>
      <c r="K47" s="14"/>
      <c r="L47" s="19"/>
    </row>
    <row r="48" spans="1:20" x14ac:dyDescent="0.25">
      <c r="A48" s="13"/>
      <c r="B48" s="14"/>
      <c r="C48" s="14"/>
      <c r="D48" s="14"/>
      <c r="E48" s="15"/>
      <c r="F48" s="16"/>
      <c r="G48" s="15"/>
      <c r="H48" s="17" t="str">
        <f>IF(Table1[[#This Row],[Qs]]&gt;0,(Table1[[#This Row],[Correct]]/Table1[[#This Row],[Qs]]),"")</f>
        <v/>
      </c>
      <c r="I48" s="18"/>
      <c r="J48" s="18" t="str">
        <f>IF(Table1[Time]&gt;0,INT(((60*INT(Table1[Time])+100*MOD(Table1[Time],1))/60)/Table1[[#This Row],[Passages]])+MOD(((60*INT(Table1[Time])+100*MOD(Table1[Time],1))/60)/Table1[[#This Row],[Passages]],1)*0.6,"")</f>
        <v/>
      </c>
      <c r="K48" s="14"/>
      <c r="L48" s="19"/>
    </row>
    <row r="49" spans="1:12" x14ac:dyDescent="0.25">
      <c r="A49" s="13"/>
      <c r="B49" s="14"/>
      <c r="C49" s="14"/>
      <c r="D49" s="14"/>
      <c r="E49" s="15"/>
      <c r="F49" s="16"/>
      <c r="G49" s="15"/>
      <c r="H49" s="17" t="str">
        <f>IF(Table1[[#This Row],[Qs]]&gt;0,(Table1[[#This Row],[Correct]]/Table1[[#This Row],[Qs]]),"")</f>
        <v/>
      </c>
      <c r="I49" s="18"/>
      <c r="J49" s="18" t="str">
        <f>IF(Table1[Time]&gt;0,INT(((60*INT(Table1[Time])+100*MOD(Table1[Time],1))/60)/Table1[[#This Row],[Passages]])+MOD(((60*INT(Table1[Time])+100*MOD(Table1[Time],1))/60)/Table1[[#This Row],[Passages]],1)*0.6,"")</f>
        <v/>
      </c>
      <c r="K49" s="14"/>
      <c r="L49" s="19"/>
    </row>
    <row r="50" spans="1:12" x14ac:dyDescent="0.25">
      <c r="A50" s="13"/>
      <c r="B50" s="14"/>
      <c r="C50" s="14"/>
      <c r="D50" s="14"/>
      <c r="E50" s="15"/>
      <c r="F50" s="16"/>
      <c r="G50" s="15"/>
      <c r="H50" s="17" t="str">
        <f>IF(Table1[[#This Row],[Qs]]&gt;0,(Table1[[#This Row],[Correct]]/Table1[[#This Row],[Qs]]),"")</f>
        <v/>
      </c>
      <c r="I50" s="52"/>
      <c r="J50" s="18" t="str">
        <f>IF(Table1[Time]&gt;0,INT(((60*INT(Table1[Time])+100*MOD(Table1[Time],1))/60)/Table1[[#This Row],[Passages]])+MOD(((60*INT(Table1[Time])+100*MOD(Table1[Time],1))/60)/Table1[[#This Row],[Passages]],1)*0.6,"")</f>
        <v/>
      </c>
      <c r="K50" s="14"/>
      <c r="L50" s="19"/>
    </row>
    <row r="51" spans="1:12" ht="15.75" thickBot="1" x14ac:dyDescent="0.3">
      <c r="A51" s="13"/>
      <c r="B51" s="14"/>
      <c r="C51" s="14"/>
      <c r="D51" s="14"/>
      <c r="E51" s="15"/>
      <c r="F51" s="16"/>
      <c r="G51" s="15"/>
      <c r="H51" s="17" t="str">
        <f>IF(Table1[[#This Row],[Qs]]&gt;0,(Table1[[#This Row],[Correct]]/Table1[[#This Row],[Qs]]),"")</f>
        <v/>
      </c>
      <c r="I51" s="52"/>
      <c r="J51" s="18" t="str">
        <f>IF(Table1[Time]&gt;0,INT(((60*INT(Table1[Time])+100*MOD(Table1[Time],1))/60)/Table1[[#This Row],[Passages]])+MOD(((60*INT(Table1[Time])+100*MOD(Table1[Time],1))/60)/Table1[[#This Row],[Passages]],1)*0.6,"")</f>
        <v/>
      </c>
      <c r="K51" s="14"/>
      <c r="L51" s="19"/>
    </row>
    <row r="52" spans="1:12" ht="15.75" thickTop="1" x14ac:dyDescent="0.25">
      <c r="E52" s="57">
        <f>SUBTOTAL(109,Table1[Passages])</f>
        <v>27</v>
      </c>
      <c r="F52" s="58">
        <f>SUM(Table1[Qs])</f>
        <v>180</v>
      </c>
      <c r="G52" s="57">
        <f>SUBTOTAL(109,Table1[Correct])</f>
        <v>143</v>
      </c>
      <c r="H52" s="59">
        <f>SUBTOTAL(101,Table1[Score%])</f>
        <v>0.79357142857142871</v>
      </c>
      <c r="I52" s="59"/>
      <c r="J52" s="60"/>
      <c r="K52" s="61"/>
      <c r="L52" s="62"/>
    </row>
    <row r="53" spans="1:12" x14ac:dyDescent="0.25">
      <c r="J53" s="66"/>
      <c r="L53" s="54"/>
    </row>
    <row r="54" spans="1:12" x14ac:dyDescent="0.25">
      <c r="G54" s="67"/>
      <c r="H54" s="22" t="s">
        <v>16</v>
      </c>
      <c r="I54" s="23">
        <f t="array" ref="I54">AVERAGE(IF(ISTEXT(Table1[Subject - Ch'#]),Table1[Correct]/Table1[Qs]))</f>
        <v>0.79357142857142871</v>
      </c>
      <c r="J54" s="24">
        <f t="array" ref="J54">INT((60*SUM(IF(Table1[Subject - Ch'#]&gt;0,INT(Table1[Time/Psg])))+SUM(IF(Table1[Subject - Ch'#]&gt;0,100*(Table1[Time/Psg]-INT(Table1[Time/Psg])))))/COUNTIF(Table1[Subject - Ch'#], "*")/60)+0.01*MOD((60*SUM(IF(Table1[Subject - Ch'#]&gt;0,INT(Table1[Time/Psg])))+SUM(IF(Table1[Subject - Ch'#]&gt;0,100*(Table1[Time/Psg]-INT(Table1[Time/Psg])))))/COUNTIF(Table1[Subject - Ch'#], "*"),60)</f>
        <v>6.0154285714285711</v>
      </c>
      <c r="K54" s="25" t="s">
        <v>17</v>
      </c>
      <c r="L54" s="54"/>
    </row>
    <row r="55" spans="1:12" x14ac:dyDescent="0.25">
      <c r="G55" s="68"/>
      <c r="H55" s="26" t="s">
        <v>18</v>
      </c>
      <c r="I55" s="27">
        <f t="array" ref="I55">AVERAGE(IF(ISNUMBER(FIND("Phys",Table1[Subject - Ch'#])),Table1[Correct]/Table1[Qs]))</f>
        <v>0.5714285714285714</v>
      </c>
      <c r="J55" s="28">
        <f t="array" ref="J55">INT((60*SUM(IF(ISNUMBER(FIND("Phy",Table1[Subject - Ch'#])),INT(Table1[Time/Psg])))+SUM(IF(ISNUMBER(FIND("Phy",Table1[Subject - Ch'#])),100*(Table1[Time/Psg]-INT(Table1[Time/Psg])))))/COUNTIF(Table1[Subject - Ch'#], "*Phy*")/60)+0.01*MOD((60*SUM(IF(ISNUMBER(FIND("Phy",Table1[Subject - Ch'#])),INT(Table1[Time/Psg])))+SUM(IF(ISNUMBER(FIND("Phy",Table1[Subject - Ch'#])),100*(Table1[Time/Psg]-INT(Table1[Time/Psg])))))/COUNTIF(Table1[Subject - Ch'#], "*Phy*"),60)</f>
        <v>6.3599999999999994</v>
      </c>
      <c r="K55" s="29" t="s">
        <v>17</v>
      </c>
    </row>
    <row r="56" spans="1:12" x14ac:dyDescent="0.25">
      <c r="G56" s="68"/>
      <c r="H56" s="32" t="s">
        <v>19</v>
      </c>
      <c r="I56" s="27">
        <f t="array" ref="I56">AVERAGE(IF(ISNUMBER(FIND("Chem",Table1[Subject - Ch'#])),Table1[Score%]))</f>
        <v>0.7142857142857143</v>
      </c>
      <c r="J56" s="28">
        <f t="array" ref="J56">INT((60*SUM(IF(ISNUMBER(FIND("Chem",Table1[Subject - Ch'#])),INT(Table1[Time/Psg])))+SUM(IF(ISNUMBER(FIND("Chem",Table1[Subject - Ch'#])),100*(Table1[Time/Psg]-INT(Table1[Time/Psg])))))/COUNTIF(Table1[Subject - Ch'#], "*Chem*")/60)+0.01*MOD((60*SUM(IF(ISNUMBER(FIND("Chem",Table1[Subject - Ch'#])),INT(Table1[Time/Psg])))+SUM(IF(ISNUMBER(FIND("Chem",Table1[Subject - Ch'#])),100*(Table1[Time/Psg]-INT(Table1[Time/Psg])))))/COUNTIF(Table1[Subject - Ch'#], "*Chem*"),60)</f>
        <v>6.24</v>
      </c>
      <c r="K56" s="29" t="s">
        <v>17</v>
      </c>
    </row>
    <row r="57" spans="1:12" x14ac:dyDescent="0.25">
      <c r="G57" s="69"/>
      <c r="H57" s="34" t="s">
        <v>20</v>
      </c>
      <c r="I57" s="35">
        <f t="array" ref="I57">AVERAGE(IF(ISNUMBER(FIND("h",Table1[Subject - Ch'#])),Table1[Score%]))</f>
        <v>0.64285714285714279</v>
      </c>
      <c r="J57" s="36">
        <f t="array" ref="J57">INT((60*SUM(IF(ISNUMBER(FIND("h",Table1[Subject - Ch'#])),INT(Table1[Time/Psg])))+SUM(IF(ISNUMBER(FIND("h",Table1[Subject - Ch'#])),100*(Table1[Time/Psg]-INT(Table1[Time/Psg])))))/COUNTIF(Table1[Subject - Ch'#], "*h*")/60)+0.01*MOD((60*SUM(IF(ISNUMBER(FIND("h",Table1[Subject - Ch'#])),INT(Table1[Time/Psg])))+SUM(IF(ISNUMBER(FIND("h",Table1[Subject - Ch'#])),100*(Table1[Time/Psg]-INT(Table1[Time/Psg])))))/COUNTIF(Table1[Subject - Ch'#], "*h*"),60)</f>
        <v>6.3</v>
      </c>
      <c r="K57" s="37" t="s">
        <v>17</v>
      </c>
    </row>
    <row r="58" spans="1:12" x14ac:dyDescent="0.25">
      <c r="G58" s="67"/>
      <c r="H58" s="38" t="s">
        <v>21</v>
      </c>
      <c r="I58" s="39">
        <f t="array" ref="I58">AVERAGE(IF(ISNUMBER(FIND("VR",Table1[Subject - Ch'#])),Table1[Correct]/Table1[Qs]))</f>
        <v>0.82499999999999996</v>
      </c>
      <c r="J58" s="40">
        <f t="array" ref="J58">INT((60*SUM(IF(Table1[Subject - Ch'#]="VR",INT(Table1[Time/Psg])))+SUM(IF(Table1[Subject - Ch'#]="VR",100*(Table1[Time/Psg]-INT(Table1[Time/Psg])))))/COUNTIF(Table1[Subject - Ch'#], "VR")/60)+0.01*MOD((60*SUM(IF(Table1[Subject - Ch'#]="VR",INT(Table1[Time/Psg])))+SUM(IF(Table1[Subject - Ch'#]="VR",100*(Table1[Time/Psg]-INT(Table1[Time/Psg])))))/COUNTIF(Table1[Subject - Ch'#], "VR"),60)</f>
        <v>4.5571428571428569</v>
      </c>
      <c r="K58" s="41" t="s">
        <v>17</v>
      </c>
    </row>
    <row r="59" spans="1:12" x14ac:dyDescent="0.25">
      <c r="G59" s="68"/>
      <c r="H59" s="43" t="s">
        <v>23</v>
      </c>
      <c r="I59" s="44">
        <f t="array" ref="I59">AVERAGE(IF(ISNUMBER(FIND("Bio",Table1[Subject - Ch'#])),Table1[Correct]/Table1[Qs]))</f>
        <v>0.8571428571428571</v>
      </c>
      <c r="J59" s="45">
        <f t="array" ref="J59">INT((60*SUM(IF(ISNUMBER(FIND("Bio",Table1[Subject - Ch'#])),INT(Table1[Time/Psg])))+SUM(IF(ISNUMBER(FIND("Bio",Table1[Subject - Ch'#])),100*(Table1[Time/Psg]-INT(Table1[Time/Psg])))))/COUNTIF(Table1[Subject - Ch'#], "*Bio*")/60)+0.01*MOD((60*SUM(IF(ISNUMBER(FIND("Bio",Table1[Subject - Ch'#])),INT(Table1[Time/Psg])))+SUM(IF(ISNUMBER(FIND("Bio",Table1[Subject - Ch'#])),100*(Table1[Time/Psg]-INT(Table1[Time/Psg])))))/COUNTIF(Table1[Subject - Ch'#], "*Bio*"),60)</f>
        <v>6.12</v>
      </c>
      <c r="K59" s="46" t="s">
        <v>17</v>
      </c>
    </row>
    <row r="60" spans="1:12" x14ac:dyDescent="0.25">
      <c r="G60" s="68"/>
      <c r="H60" s="47" t="s">
        <v>24</v>
      </c>
      <c r="I60" s="44">
        <f t="array" ref="I60">AVERAGE(IF(ISNUMBER(FIND("Orgo",Table1[Subject - Ch'#])),Table1[Correct]/Table1[Qs]))</f>
        <v>1</v>
      </c>
      <c r="J60" s="45">
        <f t="array" ref="J60">INT((60*SUM(IF(ISNUMBER(FIND("Org",Table1[Subject - Ch'#])),INT(Table1[Time/Psg])))+SUM(IF(ISNUMBER(FIND("Org",Table1[Subject - Ch'#])),100*(Table1[Time/Psg]-INT(Table1[Time/Psg])))))/COUNTIF(Table1[Subject - Ch'#], "*Org*")/60)+0.01*MOD((60*SUM(IF(ISNUMBER(FIND("Orgo",Table1[Subject - Ch'#])),INT(Table1[Time/Psg])))+SUM(IF(ISNUMBER(FIND("Orgo",Table1[Subject - Ch'#])),100*(Table1[Time/Psg]-INT(Table1[Time/Psg])))))/COUNTIF(Table1[Subject - Ch'#], "*Orgo*"),60)</f>
        <v>6</v>
      </c>
      <c r="K60" s="46" t="s">
        <v>17</v>
      </c>
    </row>
    <row r="61" spans="1:12" x14ac:dyDescent="0.25">
      <c r="G61" s="67"/>
      <c r="H61" s="48" t="s">
        <v>25</v>
      </c>
      <c r="I61" s="49">
        <f t="array" ref="I61">AVERAGE(IF(ISNUMBER(FIND("o",Table1[Subject - Ch'#])),Table1[Correct]/Table1[Qs]))</f>
        <v>0.9285714285714286</v>
      </c>
      <c r="J61" s="50">
        <f t="array" ref="J61">INT((60*SUM(IF(ISNUMBER(FIND("o",Table1[Subject - Ch'#])),INT(Table1[Time/Psg])))+SUM(IF(ISNUMBER(FIND("o",Table1[Subject - Ch'#])),100*(Table1[Time/Psg]-INT(Table1[Time/Psg])))))/COUNTIF(Table1[Subject - Ch'#], "*o*")/60)+0.01*MOD((60*SUM(IF(ISNUMBER(FIND("o",Table1[Subject - Ch'#])),INT(Table1[Time/Psg])))+SUM(IF(ISNUMBER(FIND("o",Table1[Subject - Ch'#])),100*(Table1[Time/Psg]-INT(Table1[Time/Psg])))))/COUNTIF(Table1[Subject - Ch'#], "*o*"),60)</f>
        <v>6.06</v>
      </c>
      <c r="K61" s="51" t="s">
        <v>17</v>
      </c>
    </row>
  </sheetData>
  <conditionalFormatting sqref="M2:M31 M35:M38">
    <cfRule type="notContainsBlanks" dxfId="1" priority="3">
      <formula>LEN(TRIM(M2))&gt;0</formula>
    </cfRule>
  </conditionalFormatting>
  <conditionalFormatting sqref="M32:M34">
    <cfRule type="notContainsBlanks" dxfId="0" priority="2">
      <formula>LEN(TRIM(M32))&gt;0</formula>
    </cfRule>
  </conditionalFormatting>
  <conditionalFormatting sqref="H2:H51">
    <cfRule type="colorScale" priority="1">
      <colorScale>
        <cfvo type="num" val="0.65"/>
        <cfvo type="num" val="0.8"/>
        <cfvo type="num" val="0.9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Windows 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Wise</dc:creator>
  <cp:lastModifiedBy>Nicole Wise</cp:lastModifiedBy>
  <dcterms:created xsi:type="dcterms:W3CDTF">2014-06-30T21:08:28Z</dcterms:created>
  <dcterms:modified xsi:type="dcterms:W3CDTF">2014-06-30T21:24:32Z</dcterms:modified>
</cp:coreProperties>
</file>